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3\U11L1_FSO Relief\"/>
    </mc:Choice>
  </mc:AlternateContent>
  <bookViews>
    <workbookView xWindow="-105" yWindow="-105" windowWidth="16665" windowHeight="8865"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s="1"/>
  <c r="J100" i="217" a="1"/>
  <c r="J100" i="217" s="1"/>
  <c r="I100" i="217" a="1"/>
  <c r="I100" i="217" s="1"/>
  <c r="H100" i="217" a="1"/>
  <c r="H100" i="217" s="1"/>
  <c r="G100" i="217" a="1"/>
  <c r="G100" i="217" s="1"/>
  <c r="F100" i="217" a="1"/>
  <c r="F100" i="217" s="1"/>
  <c r="E100" i="217" a="1"/>
  <c r="E100" i="217"/>
  <c r="C100" i="217" a="1"/>
  <c r="C100" i="217" s="1"/>
  <c r="D100" i="217" a="1"/>
  <c r="D100" i="217" s="1"/>
  <c r="O99" i="217" a="1"/>
  <c r="O99" i="217" s="1"/>
  <c r="N99" i="217" a="1"/>
  <c r="N99" i="217" s="1"/>
  <c r="M99" i="217" a="1"/>
  <c r="M99" i="217"/>
  <c r="L99" i="217" a="1"/>
  <c r="L99" i="217" s="1"/>
  <c r="K99" i="217" a="1"/>
  <c r="K99" i="217" s="1"/>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s="1"/>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R199" i="3" l="1"/>
  <c r="AS281" i="3"/>
  <c r="AS277" i="3"/>
  <c r="AS273" i="3"/>
  <c r="AV71" i="3" s="1"/>
  <c r="AS269" i="3"/>
  <c r="AS265" i="3"/>
  <c r="AS261" i="3"/>
  <c r="AS257" i="3"/>
  <c r="AS253" i="3"/>
  <c r="AS249" i="3"/>
  <c r="AS245" i="3"/>
  <c r="AS233" i="3"/>
  <c r="AS229" i="3"/>
  <c r="AS225" i="3"/>
  <c r="AS223" i="3"/>
  <c r="S36" i="217" s="1"/>
  <c r="AS221" i="3"/>
  <c r="AS219" i="3"/>
  <c r="AS217" i="3"/>
  <c r="AS215" i="3"/>
  <c r="S28" i="217" s="1"/>
  <c r="AS213" i="3"/>
  <c r="AV51" i="3" s="1"/>
  <c r="AS211" i="3"/>
  <c r="AS209" i="3"/>
  <c r="AS207" i="3"/>
  <c r="AS205" i="3"/>
  <c r="AS203" i="3"/>
  <c r="AV47" i="3" s="1"/>
  <c r="AS201" i="3"/>
  <c r="AS199" i="3"/>
  <c r="S12" i="217" s="1"/>
  <c r="AS197" i="3"/>
  <c r="S10" i="217" s="1"/>
  <c r="AS240" i="3"/>
  <c r="AV67" i="3"/>
  <c r="AV63" i="3"/>
  <c r="AV55" i="3"/>
  <c r="S88" i="217"/>
  <c r="AR273" i="3"/>
  <c r="S76" i="217"/>
  <c r="AR261" i="3"/>
  <c r="S64" i="217"/>
  <c r="AR249" i="3"/>
  <c r="AR237" i="3"/>
  <c r="AR233" i="3"/>
  <c r="AR229" i="3"/>
  <c r="S42" i="217" s="1"/>
  <c r="AR213" i="3"/>
  <c r="AR209" i="3"/>
  <c r="S22" i="217" s="1"/>
  <c r="S16" i="217"/>
  <c r="AS196" i="3"/>
  <c r="S9" i="217" s="1"/>
  <c r="AS284" i="3"/>
  <c r="S97" i="217" s="1"/>
  <c r="AS280" i="3"/>
  <c r="AV73" i="3" s="1"/>
  <c r="AS276" i="3"/>
  <c r="AS272" i="3"/>
  <c r="S85" i="217" s="1"/>
  <c r="AV70" i="3"/>
  <c r="AS268" i="3"/>
  <c r="AV69" i="3" s="1"/>
  <c r="AS264" i="3"/>
  <c r="AV68" i="3" s="1"/>
  <c r="AS260" i="3"/>
  <c r="S73" i="217" s="1"/>
  <c r="AV66" i="3"/>
  <c r="AS256" i="3"/>
  <c r="AS252" i="3"/>
  <c r="AV64" i="3" s="1"/>
  <c r="AS248" i="3"/>
  <c r="S61" i="217" s="1"/>
  <c r="AV62" i="3"/>
  <c r="AS244" i="3"/>
  <c r="AS236" i="3"/>
  <c r="AV58" i="3" s="1"/>
  <c r="AS232" i="3"/>
  <c r="S45" i="217" s="1"/>
  <c r="AS228" i="3"/>
  <c r="AV56" i="3" s="1"/>
  <c r="AS224" i="3"/>
  <c r="AS220" i="3"/>
  <c r="AS216" i="3"/>
  <c r="AV52" i="3" s="1"/>
  <c r="AS212" i="3"/>
  <c r="AV50" i="3" s="1"/>
  <c r="AS208" i="3"/>
  <c r="AS204" i="3"/>
  <c r="AS200" i="3"/>
  <c r="AV46" i="3" s="1"/>
  <c r="AV45" i="3"/>
  <c r="AV7" i="3"/>
  <c r="AS238" i="3"/>
  <c r="AS242" i="3"/>
  <c r="AS282" i="3"/>
  <c r="AR277" i="3"/>
  <c r="S84" i="217"/>
  <c r="AR269" i="3"/>
  <c r="S82" i="217" s="1"/>
  <c r="AR265" i="3"/>
  <c r="S78" i="217" s="1"/>
  <c r="S72" i="217"/>
  <c r="AR257" i="3"/>
  <c r="AR253" i="3"/>
  <c r="S66" i="217" s="1"/>
  <c r="S60" i="217"/>
  <c r="AR245" i="3"/>
  <c r="AR241" i="3"/>
  <c r="S48" i="217"/>
  <c r="AV19" i="3"/>
  <c r="S40" i="217"/>
  <c r="AR225" i="3"/>
  <c r="AR221" i="3"/>
  <c r="AR217" i="3"/>
  <c r="S30" i="217" s="1"/>
  <c r="S24" i="217"/>
  <c r="AR205" i="3"/>
  <c r="AR201" i="3"/>
  <c r="AS237" i="3"/>
  <c r="AS241" i="3"/>
  <c r="S54" i="217" s="1"/>
  <c r="AR282" i="3"/>
  <c r="AR278" i="3"/>
  <c r="S91" i="217" s="1"/>
  <c r="AR274" i="3"/>
  <c r="S87" i="217" s="1"/>
  <c r="AR270" i="3"/>
  <c r="AR266" i="3"/>
  <c r="S79" i="217" s="1"/>
  <c r="AR262" i="3"/>
  <c r="S75" i="217" s="1"/>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AR210" i="3"/>
  <c r="AR206" i="3"/>
  <c r="S19" i="217" s="1"/>
  <c r="AR202" i="3"/>
  <c r="S15" i="217" s="1"/>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34" i="217" l="1"/>
  <c r="S46" i="217"/>
  <c r="S13" i="217"/>
  <c r="S25" i="217"/>
  <c r="S18" i="217"/>
  <c r="S70" i="217"/>
  <c r="AV48" i="3"/>
  <c r="AV53" i="3"/>
  <c r="AV72" i="3"/>
  <c r="S58" i="217"/>
  <c r="S90" i="217"/>
  <c r="AV49" i="3"/>
  <c r="AV54" i="3"/>
  <c r="AV61" i="3"/>
  <c r="AV65" i="3"/>
  <c r="S57" i="217"/>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29" i="3"/>
  <c r="O29" i="3" s="1"/>
  <c r="M30" i="3"/>
  <c r="O30"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8" i="3"/>
  <c r="P29" i="3"/>
  <c r="R29" i="3" s="1"/>
  <c r="R28" i="3"/>
  <c r="Z39" i="3"/>
  <c r="AL34" i="3"/>
  <c r="AL72" i="3" s="1"/>
  <c r="AL110" i="3" s="1"/>
  <c r="AL148" i="3" s="1"/>
  <c r="R34" i="3" l="1"/>
  <c r="Z40" i="3"/>
  <c r="AL35" i="3"/>
  <c r="AL73" i="3" s="1"/>
  <c r="AL111" i="3" s="1"/>
  <c r="AL149" i="3" s="1"/>
  <c r="J14" i="3" l="1"/>
  <c r="G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G29" i="3"/>
  <c r="I29" i="3"/>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S28" i="3"/>
  <c r="U28" i="3" s="1"/>
  <c r="S29" i="3"/>
  <c r="U29" i="3" s="1"/>
  <c r="I34" i="3"/>
  <c r="U30" i="3"/>
  <c r="BO75" i="18"/>
  <c r="BO114" i="18" s="1"/>
  <c r="U34" i="3" l="1"/>
</calcChain>
</file>

<file path=xl/sharedStrings.xml><?xml version="1.0" encoding="utf-8"?>
<sst xmlns="http://schemas.openxmlformats.org/spreadsheetml/2006/main" count="2817" uniqueCount="571">
  <si>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</si>
  <si>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</si>
  <si>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</si>
  <si>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</si>
  <si>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</si>
  <si>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</si>
  <si>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</si>
  <si>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</si>
  <si>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</si>
  <si>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</si>
  <si>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</si>
  <si>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</si>
  <si>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</si>
  <si>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</si>
  <si>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</si>
  <si>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</si>
  <si>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</si>
  <si>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</si>
  <si>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</si>
  <si>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</si>
  <si>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</si>
  <si>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</si>
  <si>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</si>
  <si>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</si>
  <si>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</si>
  <si>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</si>
  <si>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</si>
  <si>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</si>
  <si>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</si>
  <si>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</si>
  <si>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</si>
  <si>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</si>
  <si>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</si>
  <si>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</si>
  <si>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</si>
  <si>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</si>
  <si>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</si>
  <si>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</si>
  <si>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</si>
  <si>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</si>
  <si>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</si>
  <si>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</si>
  <si>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</si>
  <si>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</si>
  <si>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</si>
  <si>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</si>
  <si>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</si>
  <si>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</si>
  <si>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</si>
  <si>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</si>
  <si>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</si>
  <si>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</si>
  <si>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</si>
  <si>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</si>
  <si>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</si>
  <si>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</si>
  <si>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</si>
  <si>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</si>
  <si>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</si>
  <si>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</si>
  <si>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</si>
  <si>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</si>
  <si>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</si>
  <si>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</si>
  <si>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</si>
  <si>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</si>
  <si>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</si>
  <si>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</si>
  <si>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</si>
  <si>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</si>
  <si>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</si>
  <si>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</si>
  <si>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</si>
  <si>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</si>
  <si>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</si>
  <si>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</si>
  <si>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</si>
  <si>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</si>
  <si>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</si>
  <si>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</si>
  <si>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</si>
  <si>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</si>
  <si>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</si>
  <si>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</si>
  <si>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</si>
  <si>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</si>
  <si>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</si>
  <si>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</si>
  <si>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</si>
  <si>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</si>
  <si>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</si>
  <si>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</si>
  <si>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</si>
  <si>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</si>
  <si>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</si>
  <si>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</si>
  <si>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</si>
  <si>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</si>
  <si>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</si>
  <si>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</si>
  <si>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</si>
  <si>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</si>
  <si>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</si>
  <si>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</si>
  <si>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</si>
  <si>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</si>
  <si>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</si>
  <si>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</si>
  <si>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</si>
  <si>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</si>
  <si>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</si>
  <si>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</si>
  <si>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</si>
  <si>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</si>
  <si>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</si>
  <si>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</si>
  <si>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</si>
  <si>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</si>
  <si>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</si>
  <si>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</si>
  <si>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</si>
  <si>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</si>
  <si>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</si>
  <si>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</si>
  <si>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</si>
  <si>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</si>
  <si>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</si>
  <si>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</si>
  <si>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</si>
  <si>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</si>
  <si>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</si>
  <si>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</si>
  <si>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</si>
  <si>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</si>
  <si>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</si>
  <si>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</si>
  <si>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</si>
  <si>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</si>
  <si>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</si>
  <si>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</si>
  <si>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</si>
  <si>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</si>
  <si>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</si>
  <si>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</si>
  <si>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</si>
  <si>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</si>
  <si>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</si>
  <si>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</si>
  <si>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</si>
  <si>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</si>
  <si>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</si>
  <si>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</si>
  <si>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</si>
  <si>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</si>
  <si>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</si>
  <si>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</si>
  <si>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</si>
  <si>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</si>
  <si>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</si>
  <si>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</si>
  <si>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</si>
  <si>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</si>
  <si>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</si>
  <si>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</si>
  <si>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</si>
  <si>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</si>
  <si>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</si>
  <si>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</si>
  <si>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</si>
  <si>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</si>
  <si>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</si>
  <si>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</si>
  <si>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</si>
  <si>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</si>
  <si>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</si>
  <si>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</si>
  <si>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</si>
  <si>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</si>
  <si>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</si>
  <si>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</si>
  <si>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</si>
  <si>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</si>
  <si>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</si>
  <si>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</si>
  <si>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</si>
  <si>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</si>
  <si>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</si>
  <si>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</si>
  <si>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</si>
  <si>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</si>
  <si>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</si>
  <si>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</si>
  <si>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</si>
  <si>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</si>
  <si>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</si>
  <si>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</si>
  <si>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</si>
  <si>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</si>
  <si>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</si>
  <si>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</si>
  <si>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</si>
  <si>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</si>
  <si>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</si>
  <si>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</si>
  <si>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</si>
  <si>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</si>
  <si>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</si>
  <si>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</si>
  <si>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</si>
  <si>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</si>
  <si>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</si>
  <si>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</si>
  <si>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</si>
  <si>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</si>
  <si>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</si>
  <si>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</si>
  <si>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</si>
  <si>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</si>
  <si>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</si>
  <si>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</si>
  <si>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</si>
  <si>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</si>
  <si>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</si>
  <si>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</si>
  <si>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</si>
  <si>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</si>
  <si>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</si>
  <si>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</si>
  <si>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</si>
  <si>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</si>
  <si>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</si>
  <si>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</si>
  <si>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</si>
  <si>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</si>
  <si>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</si>
  <si>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</si>
  <si>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</si>
  <si>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</si>
  <si>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</si>
  <si>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</si>
  <si>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</si>
  <si>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</si>
  <si>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</si>
  <si>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</si>
  <si>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</si>
  <si>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</si>
  <si>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</si>
  <si>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</si>
  <si>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</si>
  <si>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</si>
  <si>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</si>
  <si>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</si>
  <si>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</si>
  <si>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</si>
  <si>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</si>
  <si>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</si>
  <si>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</si>
  <si>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</si>
  <si>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</si>
  <si>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</si>
  <si>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</si>
  <si>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</si>
  <si>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</si>
  <si>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</si>
  <si>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</si>
  <si>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</si>
  <si>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</si>
  <si>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</si>
  <si>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</si>
  <si>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</si>
  <si>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</si>
  <si>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</si>
  <si>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</si>
  <si>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</si>
  <si>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</si>
  <si>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</si>
  <si>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</si>
  <si>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</si>
  <si>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</si>
  <si>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</si>
  <si>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</si>
  <si>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</si>
  <si>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</si>
  <si>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</si>
  <si>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</si>
  <si>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</si>
  <si>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</si>
  <si>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</si>
  <si>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</si>
  <si>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</si>
  <si>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</si>
  <si>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</si>
  <si>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</si>
  <si>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</si>
  <si>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</si>
  <si>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</si>
  <si>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</si>
  <si>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</si>
  <si>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</si>
  <si>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</si>
  <si>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</si>
  <si>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</si>
  <si>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</si>
  <si>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</si>
  <si>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</si>
  <si>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</si>
  <si>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</si>
  <si>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</si>
  <si>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</si>
  <si>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</si>
  <si>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</si>
  <si>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</si>
  <si>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</si>
  <si>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</si>
  <si>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</si>
  <si>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</si>
  <si>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</si>
  <si>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</si>
  <si>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</si>
  <si>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</si>
  <si>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</si>
  <si>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</si>
  <si>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</si>
  <si>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</si>
  <si>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</si>
  <si>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</si>
  <si>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</si>
  <si>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</si>
  <si>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</si>
  <si>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</si>
  <si>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</si>
  <si>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</si>
  <si>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</si>
  <si>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</si>
  <si>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</si>
  <si>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</si>
  <si>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</si>
  <si>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</si>
  <si>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</si>
  <si>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</si>
  <si>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</si>
  <si>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</si>
  <si>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</si>
  <si>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</si>
  <si>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</si>
  <si>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</si>
  <si>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</si>
  <si>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</si>
  <si>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</si>
  <si>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</si>
  <si>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</si>
  <si>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</si>
  <si>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</si>
  <si>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</si>
  <si>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</si>
  <si>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</si>
  <si>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</si>
  <si>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</si>
  <si>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</si>
  <si>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</si>
  <si>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</si>
  <si>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</si>
  <si>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</si>
  <si>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</si>
  <si>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</si>
  <si>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</si>
  <si>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</si>
  <si>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</si>
  <si>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</si>
  <si>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</si>
  <si>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</si>
  <si>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</si>
  <si>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</si>
  <si>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</si>
  <si>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</si>
  <si>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</si>
  <si>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</si>
  <si>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</si>
  <si>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</si>
  <si>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</si>
  <si>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</si>
  <si>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</si>
  <si>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</si>
  <si>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</si>
  <si>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</si>
  <si>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</si>
  <si>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</si>
  <si>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</si>
  <si>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</si>
  <si>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</si>
  <si>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</si>
  <si>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</si>
  <si>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</si>
  <si>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</si>
  <si>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</si>
  <si>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</si>
  <si>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</si>
  <si>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</si>
  <si>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</si>
  <si>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</si>
  <si>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</si>
  <si>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</si>
  <si>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</si>
  <si>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</si>
  <si>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</si>
  <si>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</si>
  <si>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</si>
  <si>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</si>
  <si>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</si>
  <si>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</si>
  <si>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</si>
  <si>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</si>
  <si>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</si>
  <si>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</si>
  <si>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</si>
  <si>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</si>
  <si>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</si>
  <si>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</si>
  <si>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</si>
  <si>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</si>
  <si>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</si>
  <si>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</si>
  <si>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</si>
  <si>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</si>
  <si>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</si>
  <si>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</si>
  <si>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</si>
  <si>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</si>
  <si>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</si>
  <si>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</si>
  <si>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</si>
  <si>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</si>
  <si>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</si>
  <si>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</si>
  <si>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</si>
  <si>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</si>
  <si>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</si>
  <si>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</si>
  <si>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</si>
  <si>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</si>
  <si>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</si>
  <si>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</si>
  <si>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</si>
  <si>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</si>
  <si>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</si>
  <si>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</si>
  <si>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</si>
  <si>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</si>
  <si>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</si>
  <si>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</si>
  <si>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</si>
  <si>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</si>
  <si>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</si>
  <si>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</si>
  <si>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</si>
  <si>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</si>
  <si>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</si>
  <si>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</si>
  <si>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</si>
  <si>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</si>
  <si>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</si>
  <si>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</si>
  <si>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</si>
  <si>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</si>
  <si>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</si>
  <si>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</si>
  <si>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</si>
  <si>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</si>
  <si>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</si>
  <si>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</si>
  <si>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</si>
  <si>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</si>
  <si>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</si>
  <si>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</si>
  <si>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</si>
  <si>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</si>
  <si>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</si>
  <si>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</si>
  <si>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</si>
  <si>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</si>
  <si>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</si>
  <si>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</si>
  <si>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</si>
  <si>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</si>
  <si>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</si>
  <si>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</si>
  <si>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</si>
  <si>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</si>
  <si>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</si>
  <si>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</si>
  <si>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</si>
  <si>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</si>
  <si>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</si>
  <si>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</si>
  <si>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</si>
  <si>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</si>
  <si>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</si>
  <si>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</si>
  <si>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</si>
  <si>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</si>
  <si>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</si>
  <si>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</si>
  <si>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</si>
  <si>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</si>
  <si>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</si>
  <si>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</si>
  <si>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</si>
  <si>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</si>
  <si>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</si>
  <si>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</si>
  <si>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</si>
  <si>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</si>
  <si>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</si>
  <si>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</si>
  <si>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</si>
  <si>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</si>
  <si>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</si>
  <si>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</si>
  <si>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</si>
  <si>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</si>
  <si>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</si>
  <si>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</si>
  <si>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</si>
  <si>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</si>
  <si>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</si>
  <si>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</si>
  <si>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</si>
  <si>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</si>
  <si>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</si>
  <si>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</si>
  <si>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</si>
  <si>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</si>
  <si>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</si>
  <si>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</si>
  <si>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</si>
  <si>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</si>
  <si>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</si>
  <si>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</si>
  <si>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</si>
  <si>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</si>
  <si>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</si>
  <si>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</si>
  <si>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</si>
  <si>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</si>
  <si>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</si>
  <si>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</si>
  <si>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</si>
  <si>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</si>
  <si>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</si>
  <si>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</si>
  <si>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</si>
  <si>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</si>
  <si>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</si>
  <si>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</si>
  <si>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</si>
  <si>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</si>
  <si>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</si>
  <si>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</si>
  <si>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Safeway</t>
  </si>
  <si>
    <t>Publix</t>
  </si>
  <si>
    <t>Sams Club</t>
  </si>
  <si>
    <t>32201111B0740001</t>
  </si>
  <si>
    <t>Winn Dixie</t>
  </si>
  <si>
    <t>32202222B0750001</t>
  </si>
  <si>
    <t>32203333B0750002</t>
  </si>
  <si>
    <t>32204444B0810001</t>
  </si>
  <si>
    <t>32205555B0810002</t>
  </si>
  <si>
    <t>32206666B0870001</t>
  </si>
  <si>
    <t>USCGC Atlantic</t>
  </si>
  <si>
    <t xml:space="preserve">
LINE 15 - 343 SIK RATIONS CLAIMED
LINE18 - 17.6 RATIONS SOLD TO OFFICERS
LINE 39 - $208.20 TO BE COLLECTED FOR MEAL SALES
</t>
  </si>
  <si>
    <t>3415/2020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</si>
</sst>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5" sqref="A5"/>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568</v>
      </c>
    </row>
    <row r="4" spans="1:6" ht="30" customHeight="1" x14ac:dyDescent="0.2">
      <c r="A4" s="255" t="s">
        <v>314</v>
      </c>
      <c r="B4" s="193" t="s">
        <v>366</v>
      </c>
      <c r="C4" s="201" t="s">
        <v>367</v>
      </c>
      <c r="D4" s="197"/>
      <c r="E4" s="195" t="s">
        <v>317</v>
      </c>
      <c r="F4" s="199" t="s">
        <v>557</v>
      </c>
    </row>
    <row r="5" spans="1:6" ht="30" customHeight="1" x14ac:dyDescent="0.2">
      <c r="A5" s="255" t="s">
        <v>217</v>
      </c>
      <c r="B5" s="193" t="s">
        <v>316</v>
      </c>
      <c r="C5" s="201" t="s">
        <v>352</v>
      </c>
      <c r="E5" s="195" t="s">
        <v>320</v>
      </c>
      <c r="F5" s="198">
        <v>43922</v>
      </c>
    </row>
    <row r="6" spans="1:6" ht="30" customHeight="1" x14ac:dyDescent="0.2">
      <c r="A6" s="257" t="s">
        <v>318</v>
      </c>
      <c r="B6" s="194" t="s">
        <v>319</v>
      </c>
      <c r="C6" s="201" t="s">
        <v>361</v>
      </c>
      <c r="E6" s="195" t="s">
        <v>322</v>
      </c>
      <c r="F6" s="198">
        <v>43951</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03m4s0ZuzDDqLgjWeQaeKmNsRHJShXKGqbHDSqngxBRs3IdUPMBYnmSJ5bq6EShMJ5M54WZ7WNO1PcQQnEcx3Q==" saltValue="oeyafiiBssETFSI45LJh3w=="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0TStsWPVlzQTTY3JhqnKYQc+IBeTYmpmR003ucuDZJ+X+jmPbSF5i9/2QYKNmDr4Uszhg4+lQMue0lLcnDWGYA==" saltValue="h5Dc3blBFAqYiER7IZq/m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zoomScale="80" zoomScaleNormal="80" zoomScaleSheetLayoutView="80" workbookViewId="0">
      <selection activeCell="E18" sqref="E18"/>
    </sheetView>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550</v>
      </c>
    </row>
    <row r="2" spans="1:72" ht="13.5" customHeight="1" x14ac:dyDescent="0.2">
      <c r="A2" s="625" t="s">
        <v>237</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238</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503</v>
      </c>
      <c r="BJ5" s="945"/>
      <c r="BK5" s="945"/>
      <c r="BL5" s="945"/>
      <c r="BM5" s="946"/>
      <c r="BN5" s="358"/>
      <c r="BO5" s="944" t="s">
        <v>503</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4303.17</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16"/>
      <c r="Q7" s="817"/>
      <c r="R7" s="817"/>
      <c r="S7" s="18"/>
      <c r="T7" s="810"/>
      <c r="U7" s="811"/>
      <c r="V7" s="811"/>
      <c r="W7" s="811"/>
      <c r="X7" s="812"/>
      <c r="Y7" s="819"/>
      <c r="Z7" s="812"/>
      <c r="AA7" s="142">
        <v>0</v>
      </c>
      <c r="AD7" s="360"/>
      <c r="AE7" s="385"/>
      <c r="AF7" s="358"/>
      <c r="AG7" s="358"/>
      <c r="AH7" s="358"/>
      <c r="AI7" s="386"/>
      <c r="AJ7" s="358"/>
      <c r="AK7" s="893" t="s">
        <v>238</v>
      </c>
      <c r="AL7" s="894"/>
      <c r="AM7" s="894"/>
      <c r="AN7" s="894"/>
      <c r="AO7" s="895"/>
      <c r="AP7" s="361"/>
      <c r="AS7" s="360"/>
      <c r="AT7" s="893" t="s">
        <v>238</v>
      </c>
      <c r="AU7" s="894"/>
      <c r="AV7" s="894"/>
      <c r="AW7" s="894"/>
      <c r="AX7" s="895"/>
      <c r="AY7" s="358"/>
      <c r="AZ7" s="893" t="s">
        <v>238</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Atlantic</v>
      </c>
      <c r="B8" s="834"/>
      <c r="C8" s="834"/>
      <c r="D8" s="835"/>
      <c r="E8" s="836"/>
      <c r="F8" s="388" t="str">
        <f>Menu!F7</f>
        <v>AFLOAT</v>
      </c>
      <c r="G8" s="387"/>
      <c r="H8" s="389" t="s">
        <v>17</v>
      </c>
      <c r="I8" s="387"/>
      <c r="J8" s="389" t="s">
        <v>18</v>
      </c>
      <c r="K8" s="387"/>
      <c r="L8" s="390" t="s">
        <v>19</v>
      </c>
      <c r="M8" s="391">
        <f>Menu!F5</f>
        <v>43922</v>
      </c>
      <c r="N8" s="392">
        <f>Menu!F6</f>
        <v>43951</v>
      </c>
      <c r="O8" s="19"/>
      <c r="P8" s="906"/>
      <c r="Q8" s="907"/>
      <c r="R8" s="908"/>
      <c r="S8" s="20"/>
      <c r="T8" s="393" t="s">
        <v>233</v>
      </c>
      <c r="U8" s="394"/>
      <c r="V8" s="394"/>
      <c r="W8" s="394"/>
      <c r="X8" s="394"/>
      <c r="Y8" s="394"/>
      <c r="Z8" s="395"/>
      <c r="AA8" s="25">
        <f>SUM(AA4:AA7)</f>
        <v>0</v>
      </c>
      <c r="AD8" s="360"/>
      <c r="AE8" s="380" t="s">
        <v>212</v>
      </c>
      <c r="AF8" s="851" t="s">
        <v>213</v>
      </c>
      <c r="AG8" s="866"/>
      <c r="AH8" s="866"/>
      <c r="AI8" s="381">
        <f>'CG-3471'!L11</f>
        <v>-125</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325</v>
      </c>
      <c r="G10" s="408" t="s">
        <v>23</v>
      </c>
      <c r="H10" s="400"/>
      <c r="I10" s="400"/>
      <c r="J10" s="400"/>
      <c r="K10" s="400"/>
      <c r="L10" s="400"/>
      <c r="M10" s="409"/>
      <c r="N10" s="141">
        <v>93</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4428.17</v>
      </c>
      <c r="AJ10" s="358"/>
      <c r="AK10" s="17" t="s">
        <v>248</v>
      </c>
      <c r="AL10" s="816"/>
      <c r="AM10" s="817"/>
      <c r="AN10" s="817"/>
      <c r="AO10" s="21"/>
      <c r="AP10" s="361"/>
      <c r="AS10" s="360"/>
      <c r="AT10" s="17" t="s">
        <v>248</v>
      </c>
      <c r="AU10" s="816"/>
      <c r="AV10" s="817"/>
      <c r="AW10" s="817"/>
      <c r="AX10" s="21"/>
      <c r="AY10" s="358"/>
      <c r="AZ10" s="17" t="s">
        <v>248</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4400</v>
      </c>
      <c r="G12" s="408" t="s">
        <v>27</v>
      </c>
      <c r="H12" s="400"/>
      <c r="I12" s="400"/>
      <c r="J12" s="400"/>
      <c r="K12" s="400"/>
      <c r="L12" s="400"/>
      <c r="M12" s="400"/>
      <c r="N12" s="411">
        <f>(N43)</f>
        <v>208.2000000000001</v>
      </c>
      <c r="O12" s="19"/>
      <c r="P12" s="906"/>
      <c r="Q12" s="907"/>
      <c r="R12" s="908"/>
      <c r="S12" s="20"/>
      <c r="T12" s="810"/>
      <c r="U12" s="811"/>
      <c r="V12" s="811"/>
      <c r="W12" s="811"/>
      <c r="X12" s="812"/>
      <c r="Y12" s="819"/>
      <c r="Z12" s="812"/>
      <c r="AA12" s="141">
        <v>0</v>
      </c>
      <c r="AD12" s="360"/>
      <c r="AE12" s="380" t="s">
        <v>217</v>
      </c>
      <c r="AF12" s="909" t="s">
        <v>218</v>
      </c>
      <c r="AG12" s="910"/>
      <c r="AH12" s="910"/>
      <c r="AI12" s="381">
        <f>E18</f>
        <v>520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4725</v>
      </c>
      <c r="G13" s="408" t="s">
        <v>29</v>
      </c>
      <c r="H13" s="400"/>
      <c r="I13" s="400"/>
      <c r="J13" s="400"/>
      <c r="K13" s="400"/>
      <c r="L13" s="400"/>
      <c r="M13" s="400"/>
      <c r="N13" s="141">
        <v>0</v>
      </c>
      <c r="O13" s="17" t="s">
        <v>249</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558</v>
      </c>
      <c r="P14" s="899" t="s">
        <v>561</v>
      </c>
      <c r="Q14" s="900"/>
      <c r="R14" s="901"/>
      <c r="S14" s="20">
        <v>500</v>
      </c>
      <c r="T14" s="810"/>
      <c r="U14" s="811"/>
      <c r="V14" s="811"/>
      <c r="W14" s="811"/>
      <c r="X14" s="812"/>
      <c r="Y14" s="819"/>
      <c r="Z14" s="812"/>
      <c r="AA14" s="141">
        <v>0</v>
      </c>
      <c r="AD14" s="360"/>
      <c r="AE14" s="380" t="s">
        <v>217</v>
      </c>
      <c r="AF14" s="851" t="s">
        <v>219</v>
      </c>
      <c r="AG14" s="866"/>
      <c r="AH14" s="866"/>
      <c r="AI14" s="381">
        <f>F10</f>
        <v>325</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301.2000000000001</v>
      </c>
      <c r="O15" s="19" t="s">
        <v>559</v>
      </c>
      <c r="P15" s="813" t="s">
        <v>563</v>
      </c>
      <c r="Q15" s="814"/>
      <c r="R15" s="815"/>
      <c r="S15" s="20">
        <v>1200</v>
      </c>
      <c r="T15" s="393" t="s">
        <v>233</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t="s">
        <v>560</v>
      </c>
      <c r="P16" s="813" t="s">
        <v>564</v>
      </c>
      <c r="Q16" s="814"/>
      <c r="R16" s="815"/>
      <c r="S16" s="20">
        <v>700</v>
      </c>
      <c r="T16" s="360"/>
      <c r="U16" s="358"/>
      <c r="V16" s="358"/>
      <c r="W16" s="402" t="s">
        <v>48</v>
      </c>
      <c r="X16" s="358"/>
      <c r="Y16" s="358"/>
      <c r="Z16" s="358"/>
      <c r="AA16" s="361"/>
      <c r="AD16" s="360"/>
      <c r="AE16" s="410"/>
      <c r="AF16" s="864" t="s">
        <v>220</v>
      </c>
      <c r="AG16" s="865"/>
      <c r="AH16" s="615"/>
      <c r="AI16" s="381">
        <f>AI12-AI14</f>
        <v>195</v>
      </c>
      <c r="AJ16" s="358"/>
      <c r="AK16" s="17" t="s">
        <v>249</v>
      </c>
      <c r="AL16" s="913"/>
      <c r="AM16" s="914"/>
      <c r="AN16" s="914"/>
      <c r="AO16" s="21"/>
      <c r="AP16" s="361"/>
      <c r="AS16" s="360"/>
      <c r="AT16" s="17" t="s">
        <v>249</v>
      </c>
      <c r="AU16" s="913"/>
      <c r="AV16" s="914"/>
      <c r="AW16" s="914"/>
      <c r="AX16" s="21"/>
      <c r="AY16" s="358"/>
      <c r="AZ16" s="17" t="s">
        <v>249</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93</v>
      </c>
      <c r="N17" s="416"/>
      <c r="O17" s="19" t="s">
        <v>558</v>
      </c>
      <c r="P17" s="805" t="s">
        <v>565</v>
      </c>
      <c r="Q17" s="806"/>
      <c r="R17" s="807"/>
      <c r="S17" s="20">
        <v>600</v>
      </c>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520</v>
      </c>
      <c r="F18" s="416"/>
      <c r="G18" s="408" t="s">
        <v>39</v>
      </c>
      <c r="H18" s="400"/>
      <c r="I18" s="400"/>
      <c r="J18" s="400"/>
      <c r="K18" s="400"/>
      <c r="L18" s="400"/>
      <c r="M18" s="140">
        <v>0</v>
      </c>
      <c r="N18" s="422"/>
      <c r="O18" s="19" t="s">
        <v>559</v>
      </c>
      <c r="P18" s="813" t="s">
        <v>566</v>
      </c>
      <c r="Q18" s="814"/>
      <c r="R18" s="815"/>
      <c r="S18" s="20">
        <v>1000</v>
      </c>
      <c r="T18" s="810"/>
      <c r="U18" s="811"/>
      <c r="V18" s="812"/>
      <c r="W18" s="143">
        <v>0</v>
      </c>
      <c r="X18" s="904"/>
      <c r="Y18" s="811"/>
      <c r="Z18" s="812"/>
      <c r="AA18" s="141">
        <v>0</v>
      </c>
      <c r="AD18" s="360"/>
      <c r="AE18" s="358"/>
      <c r="AF18" s="410" t="s">
        <v>216</v>
      </c>
      <c r="AG18" s="616"/>
      <c r="AH18" s="616"/>
      <c r="AI18" s="381">
        <f>AI10</f>
        <v>4428.17</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520</v>
      </c>
      <c r="G19" s="408" t="s">
        <v>41</v>
      </c>
      <c r="H19" s="400"/>
      <c r="I19" s="400"/>
      <c r="J19" s="400"/>
      <c r="K19" s="400"/>
      <c r="L19" s="400"/>
      <c r="M19" s="140">
        <v>0</v>
      </c>
      <c r="N19" s="422"/>
      <c r="O19" s="19" t="s">
        <v>562</v>
      </c>
      <c r="P19" s="813" t="s">
        <v>567</v>
      </c>
      <c r="Q19" s="814"/>
      <c r="R19" s="815"/>
      <c r="S19" s="20">
        <v>400</v>
      </c>
      <c r="T19" s="810"/>
      <c r="U19" s="811"/>
      <c r="V19" s="812"/>
      <c r="W19" s="143">
        <v>0</v>
      </c>
      <c r="X19" s="904"/>
      <c r="Y19" s="811"/>
      <c r="Z19" s="812"/>
      <c r="AA19" s="141">
        <v>0</v>
      </c>
      <c r="AD19" s="360"/>
      <c r="AE19" s="358"/>
      <c r="AF19" s="412" t="s">
        <v>220</v>
      </c>
      <c r="AG19" s="358"/>
      <c r="AH19" s="358"/>
      <c r="AI19" s="381">
        <f>AI16</f>
        <v>195</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4205</v>
      </c>
      <c r="G20" s="408" t="s">
        <v>303</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4623.17</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208.2000000000001</v>
      </c>
      <c r="G21" s="408" t="s">
        <v>45</v>
      </c>
      <c r="H21" s="400"/>
      <c r="I21" s="400"/>
      <c r="J21" s="400"/>
      <c r="K21" s="400"/>
      <c r="L21" s="400"/>
      <c r="M21" s="400"/>
      <c r="N21" s="411">
        <f>SUM(M17:M20)</f>
        <v>93</v>
      </c>
      <c r="O21" s="19"/>
      <c r="P21" s="813"/>
      <c r="Q21" s="814"/>
      <c r="R21" s="815"/>
      <c r="S21" s="20"/>
      <c r="T21" s="393" t="s">
        <v>233</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3996.7999999999997</v>
      </c>
      <c r="G22" s="408" t="s">
        <v>47</v>
      </c>
      <c r="H22" s="358"/>
      <c r="I22" s="358"/>
      <c r="J22" s="358"/>
      <c r="K22" s="358"/>
      <c r="L22" s="358"/>
      <c r="M22" s="358"/>
      <c r="N22" s="417">
        <f>N15-N21</f>
        <v>208.2000000000001</v>
      </c>
      <c r="O22" s="19"/>
      <c r="P22" s="805"/>
      <c r="Q22" s="806"/>
      <c r="R22" s="807"/>
      <c r="S22" s="20"/>
      <c r="T22" s="360"/>
      <c r="U22" s="358"/>
      <c r="V22" s="358"/>
      <c r="W22" s="402" t="s">
        <v>300</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11.661120354963948</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8.0865384615384617</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343</v>
      </c>
      <c r="C26" s="780"/>
      <c r="D26" s="778" t="s">
        <v>54</v>
      </c>
      <c r="E26" s="139">
        <v>12.28</v>
      </c>
      <c r="F26" s="411">
        <f t="shared" ref="F26:F31" si="0">ROUND((B26*E26),3)</f>
        <v>4212.04</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305</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233</v>
      </c>
      <c r="U27" s="394"/>
      <c r="V27" s="394"/>
      <c r="W27" s="394"/>
      <c r="X27" s="394"/>
      <c r="Y27" s="394"/>
      <c r="Z27" s="395"/>
      <c r="AA27" s="25">
        <f>SUM(W24:W26)+SUM(AA24:AA26)</f>
        <v>0</v>
      </c>
      <c r="AD27" s="360"/>
      <c r="AE27" s="918" t="s">
        <v>242</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232</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17.600000000000001</v>
      </c>
      <c r="C29" s="780"/>
      <c r="D29" s="778" t="s">
        <v>54</v>
      </c>
      <c r="E29" s="139">
        <v>12.28</v>
      </c>
      <c r="F29" s="411">
        <f t="shared" si="0"/>
        <v>216.12799999999999</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244</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233</v>
      </c>
      <c r="H31" s="840"/>
      <c r="I31" s="840"/>
      <c r="J31" s="840"/>
      <c r="K31" s="840"/>
      <c r="L31" s="840"/>
      <c r="M31" s="841"/>
      <c r="N31" s="25">
        <f>SUM(N26:N30)</f>
        <v>0</v>
      </c>
      <c r="O31" s="19"/>
      <c r="P31" s="805"/>
      <c r="Q31" s="806"/>
      <c r="R31" s="807"/>
      <c r="S31" s="20"/>
      <c r="T31" s="804" t="s">
        <v>570</v>
      </c>
      <c r="U31" s="804"/>
      <c r="V31" s="24">
        <v>51234</v>
      </c>
      <c r="W31" s="141">
        <v>93</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306</v>
      </c>
      <c r="B32" s="443">
        <f>SUM(B26:B31)</f>
        <v>360.6</v>
      </c>
      <c r="C32" s="443" t="s">
        <v>62</v>
      </c>
      <c r="D32" s="409"/>
      <c r="E32" s="779" t="s">
        <v>502</v>
      </c>
      <c r="F32" s="411">
        <f>ROUND(IF(N43&gt;SUM(F29:F31),N43,SUM(F29:F31)),2)</f>
        <v>216.13</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233</v>
      </c>
      <c r="AL32" s="913"/>
      <c r="AM32" s="914"/>
      <c r="AN32" s="914"/>
      <c r="AO32" s="25">
        <f>SUM(AO11:AO15,AO17:AO31)</f>
        <v>0</v>
      </c>
      <c r="AP32" s="361"/>
      <c r="AS32" s="360"/>
      <c r="AT32" s="17" t="s">
        <v>233</v>
      </c>
      <c r="AU32" s="913"/>
      <c r="AV32" s="914"/>
      <c r="AW32" s="914"/>
      <c r="AX32" s="25">
        <f>SUM(AX11:AX15,AX17:AX31)</f>
        <v>0</v>
      </c>
      <c r="AY32" s="358"/>
      <c r="AZ32" s="17" t="s">
        <v>233</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298</v>
      </c>
      <c r="B33" s="408"/>
      <c r="C33" s="400"/>
      <c r="D33" s="400"/>
      <c r="E33" s="400"/>
      <c r="F33" s="411">
        <f xml:space="preserve"> ROUND(SUM(F26:F28),2)+F32</f>
        <v>4428.17</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234</v>
      </c>
      <c r="AL33" s="913"/>
      <c r="AM33" s="914"/>
      <c r="AN33" s="914"/>
      <c r="AO33" s="18"/>
      <c r="AP33" s="361"/>
      <c r="AS33" s="360"/>
      <c r="AT33" s="17" t="s">
        <v>234</v>
      </c>
      <c r="AU33" s="913"/>
      <c r="AV33" s="914"/>
      <c r="AW33" s="914"/>
      <c r="AX33" s="18"/>
      <c r="AY33" s="358"/>
      <c r="AZ33" s="17" t="s">
        <v>234</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4205</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223.17000000000007</v>
      </c>
      <c r="G35" s="850" t="s">
        <v>360</v>
      </c>
      <c r="H35" s="851"/>
      <c r="I35" s="851"/>
      <c r="J35" s="851"/>
      <c r="K35" s="852"/>
      <c r="L35" s="858"/>
      <c r="M35" s="852"/>
      <c r="N35" s="211">
        <f>'CG-3123'!AU38</f>
        <v>0</v>
      </c>
      <c r="O35" s="17" t="s">
        <v>233</v>
      </c>
      <c r="P35" s="816"/>
      <c r="Q35" s="817"/>
      <c r="R35" s="817"/>
      <c r="S35" s="25">
        <f>SUM(S8:S12,S14:S34)</f>
        <v>4400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DEFICIT FROM LAST REPORT</v>
      </c>
      <c r="B36" s="838"/>
      <c r="C36" s="838"/>
      <c r="D36" s="838"/>
      <c r="E36" s="781"/>
      <c r="F36" s="140">
        <v>-125</v>
      </c>
      <c r="G36" s="850" t="s">
        <v>441</v>
      </c>
      <c r="H36" s="851"/>
      <c r="I36" s="851"/>
      <c r="J36" s="851"/>
      <c r="K36" s="852"/>
      <c r="L36" s="858"/>
      <c r="M36" s="852"/>
      <c r="N36" s="211">
        <f>'CG-3123'!AU76</f>
        <v>0</v>
      </c>
      <c r="O36" s="17" t="s">
        <v>234</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98.170000000000073</v>
      </c>
      <c r="G37" s="850" t="s">
        <v>439</v>
      </c>
      <c r="H37" s="851"/>
      <c r="I37" s="851"/>
      <c r="J37" s="851"/>
      <c r="K37" s="852"/>
      <c r="L37" s="876"/>
      <c r="M37" s="877"/>
      <c r="N37" s="211">
        <f>'CG-3123'!AU114</f>
        <v>208.2000000000001</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442.81700000000001</v>
      </c>
      <c r="G38" s="850" t="s">
        <v>442</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569</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233</v>
      </c>
      <c r="Z42" s="21"/>
      <c r="AA42" s="25">
        <f>SUM(W31:W42,AA31:AA41,BM7:BM46,BS7:BS46)</f>
        <v>93</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233</v>
      </c>
      <c r="H43" s="840"/>
      <c r="I43" s="840"/>
      <c r="J43" s="840"/>
      <c r="K43" s="840"/>
      <c r="L43" s="840"/>
      <c r="M43" s="841"/>
      <c r="N43" s="25">
        <f>SUM(N35:N42)</f>
        <v>208.2000000000001</v>
      </c>
      <c r="O43" s="29" t="s">
        <v>235</v>
      </c>
      <c r="P43" s="816"/>
      <c r="Q43" s="817"/>
      <c r="R43" s="817"/>
      <c r="S43" s="25">
        <f>SUM(S35,S37:S42,AO32,AO34:AO36,AX32,AX34:AX36,BD32,BD34:BD36)</f>
        <v>4400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239</v>
      </c>
      <c r="P49" s="803"/>
      <c r="Q49" s="803"/>
      <c r="R49" s="387"/>
      <c r="S49" s="803" t="s">
        <v>239</v>
      </c>
      <c r="T49" s="803"/>
      <c r="U49" s="803"/>
      <c r="V49" s="803"/>
      <c r="W49" s="387"/>
      <c r="X49" s="803" t="s">
        <v>239</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yT9vMdTYohJzmUPB2C3Cnz1ty8XEN9kgFRO5u0hp3uXb1V3uyBI4gmcBOD2Ee2xQCVijCAqOoWfua1GO8y9snQ==" saltValue="2mbWt1R72QwG2PgJ56zXP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43" transitionEvaluation="1" codeName="Sheet3"/>
  <dimension ref="A1:CE499"/>
  <sheetViews>
    <sheetView showGridLines="0" topLeftCell="A43" zoomScale="80" zoomScaleNormal="80" workbookViewId="0">
      <selection activeCell="AA33" sqref="AA3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237</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12.28</v>
      </c>
      <c r="AB2" s="461">
        <v>0</v>
      </c>
      <c r="AC2" s="461">
        <v>0</v>
      </c>
      <c r="AD2" s="35"/>
      <c r="AE2" s="32"/>
      <c r="AF2" s="32"/>
      <c r="AG2" s="32"/>
      <c r="AH2" s="32"/>
      <c r="AI2" s="32"/>
      <c r="AJ2" s="32"/>
      <c r="AK2" s="32"/>
      <c r="AL2" s="36" t="s">
        <v>209</v>
      </c>
      <c r="AU2" s="965" t="s">
        <v>96</v>
      </c>
      <c r="AV2" s="965"/>
      <c r="AW2" s="966"/>
      <c r="AX2" s="37"/>
      <c r="BD2" s="965" t="s">
        <v>96</v>
      </c>
      <c r="BE2" s="966"/>
      <c r="BF2" s="36" t="s">
        <v>493</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986" t="s">
        <v>552</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Atlantic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N</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N</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12</v>
      </c>
      <c r="AB10" s="53">
        <v>0</v>
      </c>
      <c r="AC10" s="53">
        <v>0</v>
      </c>
      <c r="AD10" s="54">
        <f>(AT6+AT44+AT82+AT120)</f>
        <v>0.8</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v>12.28</v>
      </c>
      <c r="AK10" s="55">
        <f t="shared" ref="AK10:AK40" si="9">(AU6+AU44+AU82)</f>
        <v>9.3000000000000007</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v>12</v>
      </c>
      <c r="AB11" s="53"/>
      <c r="AC11" s="53"/>
      <c r="AD11" s="54">
        <f>(AT7+AT45+AT83+AT121)</f>
        <v>0.8</v>
      </c>
      <c r="AE11" s="54">
        <f t="shared" si="5"/>
        <v>0</v>
      </c>
      <c r="AF11" s="207"/>
      <c r="AG11" s="54">
        <f t="shared" si="6"/>
        <v>0</v>
      </c>
      <c r="AH11" s="54">
        <f t="shared" si="7"/>
        <v>0</v>
      </c>
      <c r="AI11" s="54">
        <f t="shared" si="8"/>
        <v>0</v>
      </c>
      <c r="AJ11" s="31">
        <v>12.28</v>
      </c>
      <c r="AK11" s="55">
        <f t="shared" si="9"/>
        <v>9.3000000000000007</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N</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996">
        <v>43952</v>
      </c>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43924</v>
      </c>
      <c r="AA12" s="53">
        <v>12</v>
      </c>
      <c r="AB12" s="53"/>
      <c r="AC12" s="53"/>
      <c r="AD12" s="54">
        <f t="shared" ref="AD12:AD39" si="11">(AT8+AT46+AT84+AT122)</f>
        <v>0</v>
      </c>
      <c r="AE12" s="54">
        <f t="shared" si="5"/>
        <v>0</v>
      </c>
      <c r="AF12" s="207"/>
      <c r="AG12" s="54">
        <f t="shared" si="6"/>
        <v>0</v>
      </c>
      <c r="AH12" s="54">
        <f t="shared" si="7"/>
        <v>0</v>
      </c>
      <c r="AI12" s="54">
        <f t="shared" si="8"/>
        <v>0</v>
      </c>
      <c r="AJ12" s="31">
        <v>12.28</v>
      </c>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N</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43925</v>
      </c>
      <c r="AA13" s="53">
        <v>12</v>
      </c>
      <c r="AB13" s="53"/>
      <c r="AC13" s="53"/>
      <c r="AD13" s="54">
        <f t="shared" si="11"/>
        <v>0</v>
      </c>
      <c r="AE13" s="54">
        <f t="shared" si="5"/>
        <v>0</v>
      </c>
      <c r="AF13" s="207"/>
      <c r="AG13" s="54">
        <f t="shared" si="6"/>
        <v>0</v>
      </c>
      <c r="AH13" s="54">
        <f t="shared" si="7"/>
        <v>0</v>
      </c>
      <c r="AI13" s="54">
        <f t="shared" si="8"/>
        <v>0</v>
      </c>
      <c r="AJ13" s="31">
        <v>12.28</v>
      </c>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N</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12.28</v>
      </c>
      <c r="H14" s="981"/>
      <c r="I14" s="993"/>
      <c r="J14" s="992">
        <f>IFERROR(IF(VLOOKUP($A$12,$Z$10:$AJ$40,11)=AC2,AC2,0),0)</f>
        <v>0</v>
      </c>
      <c r="K14" s="981"/>
      <c r="L14" s="981"/>
      <c r="M14" s="994"/>
      <c r="N14" s="995"/>
      <c r="O14" s="995"/>
      <c r="P14" s="475"/>
      <c r="Q14" s="475"/>
      <c r="R14" s="480"/>
      <c r="S14" s="1001" t="s">
        <v>308</v>
      </c>
      <c r="T14" s="981"/>
      <c r="U14" s="981"/>
      <c r="V14" s="981"/>
      <c r="W14" s="982"/>
      <c r="X14" s="58" t="s">
        <v>134</v>
      </c>
      <c r="Z14" s="56">
        <f t="shared" si="10"/>
        <v>43926</v>
      </c>
      <c r="AA14" s="53">
        <v>11</v>
      </c>
      <c r="AB14" s="53"/>
      <c r="AC14" s="53"/>
      <c r="AD14" s="54">
        <f t="shared" si="11"/>
        <v>0</v>
      </c>
      <c r="AE14" s="54">
        <f t="shared" si="5"/>
        <v>0</v>
      </c>
      <c r="AF14" s="207"/>
      <c r="AG14" s="54">
        <f t="shared" si="6"/>
        <v>0</v>
      </c>
      <c r="AH14" s="54">
        <f t="shared" si="7"/>
        <v>0</v>
      </c>
      <c r="AI14" s="54">
        <f t="shared" si="8"/>
        <v>0</v>
      </c>
      <c r="AJ14" s="31">
        <v>12.28</v>
      </c>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N</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98">
        <f>Menu!F5</f>
        <v>43922</v>
      </c>
      <c r="B15" s="999"/>
      <c r="C15" s="990"/>
      <c r="D15" s="1000">
        <f>Menu!F6</f>
        <v>43951</v>
      </c>
      <c r="E15" s="999"/>
      <c r="F15" s="990"/>
      <c r="G15" s="483"/>
      <c r="H15" s="483"/>
      <c r="I15" s="484"/>
      <c r="J15" s="483" t="s">
        <v>135</v>
      </c>
      <c r="K15" s="483"/>
      <c r="L15" s="483"/>
      <c r="M15" s="485"/>
      <c r="N15" s="486"/>
      <c r="O15" s="486"/>
      <c r="P15" s="475"/>
      <c r="Q15" s="475"/>
      <c r="R15" s="480"/>
      <c r="S15" s="991" t="s">
        <v>356</v>
      </c>
      <c r="T15" s="984"/>
      <c r="U15" s="984"/>
      <c r="V15" s="984"/>
      <c r="W15" s="985"/>
      <c r="X15" s="32"/>
      <c r="Y15" s="32"/>
      <c r="Z15" s="56">
        <f t="shared" si="10"/>
        <v>43927</v>
      </c>
      <c r="AA15" s="53">
        <v>11</v>
      </c>
      <c r="AB15" s="53"/>
      <c r="AC15" s="53"/>
      <c r="AD15" s="54">
        <f t="shared" si="11"/>
        <v>0.8</v>
      </c>
      <c r="AE15" s="54">
        <f t="shared" si="5"/>
        <v>0</v>
      </c>
      <c r="AF15" s="207"/>
      <c r="AG15" s="54">
        <f t="shared" si="6"/>
        <v>0</v>
      </c>
      <c r="AH15" s="54">
        <f t="shared" si="7"/>
        <v>0</v>
      </c>
      <c r="AI15" s="54">
        <f t="shared" si="8"/>
        <v>0</v>
      </c>
      <c r="AJ15" s="31">
        <v>12.28</v>
      </c>
      <c r="AK15" s="55">
        <f t="shared" si="9"/>
        <v>9.3000000000000007</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N</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12</v>
      </c>
      <c r="J16" s="490"/>
      <c r="K16" s="490"/>
      <c r="L16" s="490">
        <f>IF(J14&gt;0,VLOOKUP($A$12,$Z$10:$AJ$40,2),0)</f>
        <v>0</v>
      </c>
      <c r="M16" s="491"/>
      <c r="N16" s="492"/>
      <c r="O16" s="492"/>
      <c r="P16" s="475"/>
      <c r="Q16" s="475"/>
      <c r="R16" s="480"/>
      <c r="S16" s="967">
        <f>(I16+L16)</f>
        <v>12</v>
      </c>
      <c r="T16" s="910"/>
      <c r="U16" s="910"/>
      <c r="V16" s="627" t="str">
        <f>IF(S16&gt;0,"/","")</f>
        <v>/</v>
      </c>
      <c r="W16" s="493">
        <f>ROUND(((I16*$G$14)+(L16*$J$14)),3)</f>
        <v>147.36000000000001</v>
      </c>
      <c r="X16" s="32"/>
      <c r="Y16" s="32"/>
      <c r="Z16" s="56">
        <f t="shared" si="10"/>
        <v>43928</v>
      </c>
      <c r="AA16" s="53">
        <v>11</v>
      </c>
      <c r="AB16" s="53"/>
      <c r="AC16" s="53"/>
      <c r="AD16" s="54">
        <f t="shared" si="11"/>
        <v>1.2000000000000002</v>
      </c>
      <c r="AE16" s="54">
        <f t="shared" si="5"/>
        <v>0</v>
      </c>
      <c r="AF16" s="207"/>
      <c r="AG16" s="54">
        <f t="shared" si="6"/>
        <v>0</v>
      </c>
      <c r="AH16" s="54">
        <f t="shared" si="7"/>
        <v>0</v>
      </c>
      <c r="AI16" s="54">
        <f t="shared" si="8"/>
        <v>0</v>
      </c>
      <c r="AJ16" s="31">
        <v>12.28</v>
      </c>
      <c r="AK16" s="55">
        <f t="shared" si="9"/>
        <v>14.4</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43929</v>
      </c>
      <c r="AA17" s="53">
        <v>10</v>
      </c>
      <c r="AB17" s="53"/>
      <c r="AC17" s="53"/>
      <c r="AD17" s="54">
        <f t="shared" si="11"/>
        <v>1.2000000000000002</v>
      </c>
      <c r="AE17" s="54">
        <f t="shared" si="5"/>
        <v>0</v>
      </c>
      <c r="AF17" s="207"/>
      <c r="AG17" s="54">
        <f t="shared" si="6"/>
        <v>0</v>
      </c>
      <c r="AH17" s="54">
        <f t="shared" si="7"/>
        <v>0</v>
      </c>
      <c r="AI17" s="54">
        <f t="shared" si="8"/>
        <v>0</v>
      </c>
      <c r="AJ17" s="31">
        <v>12.28</v>
      </c>
      <c r="AK17" s="55">
        <f t="shared" si="9"/>
        <v>14.4</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N</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43930</v>
      </c>
      <c r="AA18" s="53">
        <v>10</v>
      </c>
      <c r="AB18" s="53"/>
      <c r="AC18" s="53"/>
      <c r="AD18" s="54">
        <f t="shared" si="11"/>
        <v>0.4</v>
      </c>
      <c r="AE18" s="54">
        <f t="shared" si="5"/>
        <v>0</v>
      </c>
      <c r="AF18" s="207"/>
      <c r="AG18" s="54">
        <f t="shared" si="6"/>
        <v>0</v>
      </c>
      <c r="AH18" s="54">
        <f t="shared" si="7"/>
        <v>0</v>
      </c>
      <c r="AI18" s="54">
        <f t="shared" si="8"/>
        <v>0</v>
      </c>
      <c r="AJ18" s="31">
        <v>12.28</v>
      </c>
      <c r="AK18" s="55">
        <f t="shared" si="9"/>
        <v>5.0999999999999996</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N</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43931</v>
      </c>
      <c r="AA19" s="53">
        <v>10</v>
      </c>
      <c r="AB19" s="53"/>
      <c r="AC19" s="53"/>
      <c r="AD19" s="54">
        <f t="shared" si="11"/>
        <v>0.4</v>
      </c>
      <c r="AE19" s="54">
        <f t="shared" si="5"/>
        <v>0</v>
      </c>
      <c r="AF19" s="207"/>
      <c r="AG19" s="54">
        <f t="shared" si="6"/>
        <v>0</v>
      </c>
      <c r="AH19" s="54">
        <f t="shared" si="7"/>
        <v>0</v>
      </c>
      <c r="AI19" s="54">
        <f t="shared" si="8"/>
        <v>0</v>
      </c>
      <c r="AJ19" s="31">
        <v>12.28</v>
      </c>
      <c r="AK19" s="55">
        <f t="shared" si="9"/>
        <v>5.0999999999999996</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N</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43932</v>
      </c>
      <c r="AA20" s="53">
        <v>10</v>
      </c>
      <c r="AB20" s="53"/>
      <c r="AC20" s="53"/>
      <c r="AD20" s="54">
        <f t="shared" si="11"/>
        <v>0</v>
      </c>
      <c r="AE20" s="54">
        <f t="shared" si="5"/>
        <v>0</v>
      </c>
      <c r="AF20" s="207"/>
      <c r="AG20" s="54">
        <f t="shared" si="6"/>
        <v>0</v>
      </c>
      <c r="AH20" s="54">
        <f t="shared" si="7"/>
        <v>0</v>
      </c>
      <c r="AI20" s="54">
        <f t="shared" si="8"/>
        <v>0</v>
      </c>
      <c r="AJ20" s="31">
        <v>12.28</v>
      </c>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N</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43933</v>
      </c>
      <c r="AA21" s="53">
        <v>10</v>
      </c>
      <c r="AB21" s="53"/>
      <c r="AC21" s="53"/>
      <c r="AD21" s="54">
        <f t="shared" si="11"/>
        <v>1.2000000000000002</v>
      </c>
      <c r="AE21" s="54">
        <f t="shared" si="5"/>
        <v>0</v>
      </c>
      <c r="AF21" s="207"/>
      <c r="AG21" s="54">
        <f t="shared" si="6"/>
        <v>0</v>
      </c>
      <c r="AH21" s="54">
        <f t="shared" si="7"/>
        <v>0</v>
      </c>
      <c r="AI21" s="54">
        <f t="shared" si="8"/>
        <v>0</v>
      </c>
      <c r="AJ21" s="31">
        <v>12.28</v>
      </c>
      <c r="AK21" s="55">
        <f t="shared" si="9"/>
        <v>14.4</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N</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43934</v>
      </c>
      <c r="AA22" s="53">
        <v>10</v>
      </c>
      <c r="AB22" s="53"/>
      <c r="AC22" s="53"/>
      <c r="AD22" s="54">
        <f t="shared" si="11"/>
        <v>1.2000000000000002</v>
      </c>
      <c r="AE22" s="54">
        <f t="shared" si="5"/>
        <v>0</v>
      </c>
      <c r="AF22" s="207"/>
      <c r="AG22" s="54">
        <f t="shared" si="6"/>
        <v>0</v>
      </c>
      <c r="AH22" s="54">
        <f t="shared" si="7"/>
        <v>0</v>
      </c>
      <c r="AI22" s="54">
        <f t="shared" si="8"/>
        <v>0</v>
      </c>
      <c r="AJ22" s="31">
        <v>12.28</v>
      </c>
      <c r="AK22" s="55">
        <f t="shared" si="9"/>
        <v>14.4</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N</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43935</v>
      </c>
      <c r="AA23" s="53">
        <v>10</v>
      </c>
      <c r="AB23" s="53"/>
      <c r="AC23" s="53"/>
      <c r="AD23" s="54">
        <f t="shared" si="11"/>
        <v>1.2000000000000002</v>
      </c>
      <c r="AE23" s="54">
        <f t="shared" si="5"/>
        <v>0</v>
      </c>
      <c r="AF23" s="207"/>
      <c r="AG23" s="54">
        <f t="shared" si="6"/>
        <v>0</v>
      </c>
      <c r="AH23" s="54">
        <f t="shared" si="7"/>
        <v>0</v>
      </c>
      <c r="AI23" s="54">
        <f t="shared" si="8"/>
        <v>0</v>
      </c>
      <c r="AJ23" s="31">
        <v>12.28</v>
      </c>
      <c r="AK23" s="55">
        <f t="shared" si="9"/>
        <v>14.4</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N</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43936</v>
      </c>
      <c r="AA24" s="53">
        <v>10</v>
      </c>
      <c r="AB24" s="53"/>
      <c r="AC24" s="53"/>
      <c r="AD24" s="54">
        <f t="shared" si="11"/>
        <v>0.8</v>
      </c>
      <c r="AE24" s="54">
        <f t="shared" si="5"/>
        <v>0</v>
      </c>
      <c r="AF24" s="207"/>
      <c r="AG24" s="54">
        <f t="shared" si="6"/>
        <v>0</v>
      </c>
      <c r="AH24" s="54">
        <f t="shared" si="7"/>
        <v>0</v>
      </c>
      <c r="AI24" s="54">
        <f t="shared" si="8"/>
        <v>0</v>
      </c>
      <c r="AJ24" s="31">
        <v>12.28</v>
      </c>
      <c r="AK24" s="55">
        <f t="shared" si="9"/>
        <v>9.3000000000000007</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N</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396</v>
      </c>
      <c r="C25" s="507"/>
      <c r="D25" s="507"/>
      <c r="E25" s="507"/>
      <c r="F25" s="508"/>
      <c r="G25" s="509"/>
      <c r="H25" s="509"/>
      <c r="I25" s="510">
        <f>SUM(I16:I24)</f>
        <v>12</v>
      </c>
      <c r="J25" s="511"/>
      <c r="K25" s="511"/>
      <c r="L25" s="511">
        <f>SUM(L16:L24)</f>
        <v>0</v>
      </c>
      <c r="M25" s="512"/>
      <c r="N25" s="513"/>
      <c r="O25" s="513"/>
      <c r="P25" s="514"/>
      <c r="Q25" s="514"/>
      <c r="R25" s="515"/>
      <c r="S25" s="967">
        <f t="shared" ref="S25" si="15">(I25+L25)</f>
        <v>12</v>
      </c>
      <c r="T25" s="910"/>
      <c r="U25" s="910"/>
      <c r="V25" s="516" t="s">
        <v>147</v>
      </c>
      <c r="W25" s="517">
        <f>ROUND(SUM(W16:W24),2)</f>
        <v>147.36000000000001</v>
      </c>
      <c r="X25" s="32"/>
      <c r="Y25" s="32"/>
      <c r="Z25" s="56">
        <f t="shared" si="10"/>
        <v>43937</v>
      </c>
      <c r="AA25" s="53">
        <v>10</v>
      </c>
      <c r="AB25" s="53"/>
      <c r="AC25" s="53"/>
      <c r="AD25" s="54">
        <f t="shared" si="11"/>
        <v>1.2000000000000002</v>
      </c>
      <c r="AE25" s="54">
        <f t="shared" si="5"/>
        <v>0</v>
      </c>
      <c r="AF25" s="207"/>
      <c r="AG25" s="54">
        <f t="shared" si="6"/>
        <v>0</v>
      </c>
      <c r="AH25" s="54">
        <f t="shared" si="7"/>
        <v>0</v>
      </c>
      <c r="AI25" s="54">
        <f t="shared" si="8"/>
        <v>0</v>
      </c>
      <c r="AJ25" s="31">
        <v>12.28</v>
      </c>
      <c r="AK25" s="55">
        <f t="shared" si="9"/>
        <v>14.4</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N</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43938</v>
      </c>
      <c r="AA26" s="53">
        <v>10</v>
      </c>
      <c r="AB26" s="53"/>
      <c r="AC26" s="53"/>
      <c r="AD26" s="54">
        <f t="shared" si="11"/>
        <v>0.8</v>
      </c>
      <c r="AE26" s="54">
        <f t="shared" si="5"/>
        <v>0</v>
      </c>
      <c r="AF26" s="207"/>
      <c r="AG26" s="54">
        <f t="shared" si="6"/>
        <v>0</v>
      </c>
      <c r="AH26" s="54">
        <f t="shared" si="7"/>
        <v>0</v>
      </c>
      <c r="AI26" s="54">
        <f t="shared" si="8"/>
        <v>0</v>
      </c>
      <c r="AJ26" s="31">
        <v>12.28</v>
      </c>
      <c r="AK26" s="55">
        <f t="shared" si="9"/>
        <v>9.3000000000000007</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43939</v>
      </c>
      <c r="AA27" s="53">
        <v>11</v>
      </c>
      <c r="AB27" s="53"/>
      <c r="AC27" s="53"/>
      <c r="AD27" s="54">
        <f t="shared" si="11"/>
        <v>0.8</v>
      </c>
      <c r="AE27" s="54">
        <f t="shared" si="5"/>
        <v>0</v>
      </c>
      <c r="AF27" s="207"/>
      <c r="AG27" s="54">
        <f t="shared" si="6"/>
        <v>0</v>
      </c>
      <c r="AH27" s="54">
        <f t="shared" si="7"/>
        <v>0</v>
      </c>
      <c r="AI27" s="54">
        <f t="shared" si="8"/>
        <v>0</v>
      </c>
      <c r="AJ27" s="31">
        <v>12.28</v>
      </c>
      <c r="AK27" s="55">
        <f t="shared" si="9"/>
        <v>9.3000000000000007</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43940</v>
      </c>
      <c r="AA28" s="53">
        <v>11</v>
      </c>
      <c r="AB28" s="53"/>
      <c r="AC28" s="53"/>
      <c r="AD28" s="54">
        <f t="shared" si="11"/>
        <v>0.8</v>
      </c>
      <c r="AE28" s="54">
        <f t="shared" si="5"/>
        <v>0</v>
      </c>
      <c r="AF28" s="207"/>
      <c r="AG28" s="54">
        <f t="shared" si="6"/>
        <v>0</v>
      </c>
      <c r="AH28" s="54">
        <f t="shared" si="7"/>
        <v>0</v>
      </c>
      <c r="AI28" s="54">
        <f t="shared" si="8"/>
        <v>0</v>
      </c>
      <c r="AJ28" s="31">
        <v>12.28</v>
      </c>
      <c r="AK28" s="55">
        <f t="shared" si="9"/>
        <v>9.3000000000000007</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43941</v>
      </c>
      <c r="AA29" s="53">
        <v>11</v>
      </c>
      <c r="AB29" s="53"/>
      <c r="AC29" s="53"/>
      <c r="AD29" s="54">
        <f t="shared" si="11"/>
        <v>0.8</v>
      </c>
      <c r="AE29" s="54">
        <f t="shared" si="5"/>
        <v>0</v>
      </c>
      <c r="AF29" s="207"/>
      <c r="AG29" s="54">
        <f t="shared" si="6"/>
        <v>0</v>
      </c>
      <c r="AH29" s="54">
        <f t="shared" si="7"/>
        <v>0</v>
      </c>
      <c r="AI29" s="54">
        <f t="shared" si="8"/>
        <v>0</v>
      </c>
      <c r="AJ29" s="31">
        <v>12.28</v>
      </c>
      <c r="AK29" s="55">
        <f t="shared" si="9"/>
        <v>9.3000000000000007</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N</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43942</v>
      </c>
      <c r="AA30" s="53">
        <v>11</v>
      </c>
      <c r="AB30" s="53"/>
      <c r="AC30" s="53"/>
      <c r="AD30" s="54">
        <f t="shared" si="11"/>
        <v>0</v>
      </c>
      <c r="AE30" s="54">
        <f t="shared" si="5"/>
        <v>0</v>
      </c>
      <c r="AF30" s="207"/>
      <c r="AG30" s="54">
        <f t="shared" si="6"/>
        <v>0</v>
      </c>
      <c r="AH30" s="54">
        <f>(BG26*$AM$4)+(BH26*$AN$4)+(BI26*$AO$4)+(BJ26*$AP$4)+(BK26*$AQ$4)+(BL26*$AR$4)</f>
        <v>0</v>
      </c>
      <c r="AI30" s="54">
        <f t="shared" si="8"/>
        <v>0</v>
      </c>
      <c r="AJ30" s="31">
        <v>12.28</v>
      </c>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N</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43943</v>
      </c>
      <c r="AA31" s="53">
        <v>11</v>
      </c>
      <c r="AB31" s="53"/>
      <c r="AC31" s="53"/>
      <c r="AD31" s="54">
        <f t="shared" si="11"/>
        <v>0</v>
      </c>
      <c r="AE31" s="54">
        <f t="shared" si="5"/>
        <v>0</v>
      </c>
      <c r="AF31" s="207"/>
      <c r="AG31" s="54">
        <f t="shared" si="6"/>
        <v>0</v>
      </c>
      <c r="AH31" s="54">
        <f t="shared" ref="AH31:AH40" si="21">(BG27*$AM$4)+(BH27*$AN$4)+(BI27*$AO$4)+(BJ27*$AP$4)+(BK27*$AQ$4)+(BL27*$AR$4)</f>
        <v>0</v>
      </c>
      <c r="AI31" s="54">
        <f t="shared" si="8"/>
        <v>0</v>
      </c>
      <c r="AJ31" s="31">
        <v>12.28</v>
      </c>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N</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43944</v>
      </c>
      <c r="AA32" s="53">
        <v>11</v>
      </c>
      <c r="AB32" s="53"/>
      <c r="AC32" s="53"/>
      <c r="AD32" s="54">
        <f t="shared" si="11"/>
        <v>0</v>
      </c>
      <c r="AE32" s="54">
        <f t="shared" si="5"/>
        <v>0</v>
      </c>
      <c r="AF32" s="207"/>
      <c r="AG32" s="54">
        <f t="shared" si="6"/>
        <v>0</v>
      </c>
      <c r="AH32" s="54">
        <f t="shared" si="21"/>
        <v>0</v>
      </c>
      <c r="AI32" s="54">
        <f t="shared" si="8"/>
        <v>0</v>
      </c>
      <c r="AJ32" s="31">
        <v>12.28</v>
      </c>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N</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43945</v>
      </c>
      <c r="AA33" s="53">
        <v>12</v>
      </c>
      <c r="AB33" s="53"/>
      <c r="AC33" s="53"/>
      <c r="AD33" s="54">
        <f t="shared" si="11"/>
        <v>0.8</v>
      </c>
      <c r="AE33" s="54">
        <f t="shared" si="5"/>
        <v>0</v>
      </c>
      <c r="AF33" s="207"/>
      <c r="AG33" s="54">
        <f t="shared" si="6"/>
        <v>0</v>
      </c>
      <c r="AH33" s="54">
        <f t="shared" si="21"/>
        <v>0</v>
      </c>
      <c r="AI33" s="54">
        <f t="shared" si="8"/>
        <v>0</v>
      </c>
      <c r="AJ33" s="31">
        <v>12.28</v>
      </c>
      <c r="AK33" s="55">
        <f t="shared" si="9"/>
        <v>9.3000000000000007</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43946</v>
      </c>
      <c r="AA34" s="53">
        <v>12</v>
      </c>
      <c r="AB34" s="53"/>
      <c r="AC34" s="53"/>
      <c r="AD34" s="54">
        <f t="shared" si="11"/>
        <v>0.8</v>
      </c>
      <c r="AE34" s="54">
        <f t="shared" si="5"/>
        <v>0</v>
      </c>
      <c r="AF34" s="207"/>
      <c r="AG34" s="54">
        <f t="shared" si="6"/>
        <v>0</v>
      </c>
      <c r="AH34" s="54">
        <f t="shared" si="21"/>
        <v>0</v>
      </c>
      <c r="AI34" s="54">
        <f t="shared" si="8"/>
        <v>0</v>
      </c>
      <c r="AJ34" s="31">
        <v>12.28</v>
      </c>
      <c r="AK34" s="55">
        <f t="shared" si="9"/>
        <v>9.3000000000000007</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368</v>
      </c>
      <c r="T35" s="961"/>
      <c r="U35" s="962"/>
      <c r="V35" s="963">
        <f>IFERROR(INDEX(AU6:AU36,MATCH(A12,AL6:AL36,0)),0) + IFERROR(INDEX(AU44:AU74,MATCH(A12,AL44:AL74,0)),0) + IFERROR(INDEX(AU82:AU112,MATCH(A12,AL82:AL112,0)),0)  + IFERROR(INDEX(AU120:AU150,MATCH(A12,AL120:AL150,0)),0)</f>
        <v>0</v>
      </c>
      <c r="W35" s="964"/>
      <c r="X35" s="32"/>
      <c r="Y35" s="32"/>
      <c r="Z35" s="56">
        <f t="shared" si="10"/>
        <v>43947</v>
      </c>
      <c r="AA35" s="53">
        <v>12</v>
      </c>
      <c r="AB35" s="53"/>
      <c r="AC35" s="53"/>
      <c r="AD35" s="54">
        <f t="shared" si="11"/>
        <v>0.8</v>
      </c>
      <c r="AE35" s="54">
        <f t="shared" si="5"/>
        <v>0</v>
      </c>
      <c r="AF35" s="207"/>
      <c r="AG35" s="54">
        <f t="shared" si="6"/>
        <v>0</v>
      </c>
      <c r="AH35" s="54">
        <f t="shared" si="21"/>
        <v>0</v>
      </c>
      <c r="AI35" s="54">
        <f t="shared" si="8"/>
        <v>0</v>
      </c>
      <c r="AJ35" s="31">
        <v>12.28</v>
      </c>
      <c r="AK35" s="55">
        <f t="shared" si="9"/>
        <v>9.3000000000000007</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43948</v>
      </c>
      <c r="AA36" s="53">
        <v>12</v>
      </c>
      <c r="AB36" s="53"/>
      <c r="AC36" s="53"/>
      <c r="AD36" s="54">
        <f t="shared" si="11"/>
        <v>0.8</v>
      </c>
      <c r="AE36" s="54">
        <f t="shared" si="5"/>
        <v>0</v>
      </c>
      <c r="AF36" s="207"/>
      <c r="AG36" s="54">
        <f t="shared" si="6"/>
        <v>0</v>
      </c>
      <c r="AH36" s="54">
        <f t="shared" si="21"/>
        <v>0</v>
      </c>
      <c r="AI36" s="54">
        <f t="shared" si="8"/>
        <v>0</v>
      </c>
      <c r="AJ36" s="31">
        <v>12.28</v>
      </c>
      <c r="AK36" s="55">
        <f t="shared" si="9"/>
        <v>9.3000000000000007</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43949</v>
      </c>
      <c r="AA37" s="53">
        <v>12</v>
      </c>
      <c r="AB37" s="53"/>
      <c r="AC37" s="53"/>
      <c r="AD37" s="54">
        <f t="shared" si="11"/>
        <v>0</v>
      </c>
      <c r="AE37" s="54">
        <f t="shared" si="5"/>
        <v>0</v>
      </c>
      <c r="AF37" s="207"/>
      <c r="AG37" s="54">
        <f t="shared" si="6"/>
        <v>0</v>
      </c>
      <c r="AH37" s="54">
        <f t="shared" si="21"/>
        <v>0</v>
      </c>
      <c r="AI37" s="54">
        <f t="shared" si="8"/>
        <v>0</v>
      </c>
      <c r="AJ37" s="31">
        <v>12.28</v>
      </c>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43950</v>
      </c>
      <c r="AA38" s="53">
        <v>12</v>
      </c>
      <c r="AB38" s="53"/>
      <c r="AC38" s="53"/>
      <c r="AD38" s="54">
        <f t="shared" si="11"/>
        <v>0</v>
      </c>
      <c r="AE38" s="54">
        <f t="shared" si="5"/>
        <v>0</v>
      </c>
      <c r="AF38" s="207"/>
      <c r="AG38" s="54">
        <f t="shared" si="6"/>
        <v>0</v>
      </c>
      <c r="AH38" s="54">
        <f t="shared" si="21"/>
        <v>0</v>
      </c>
      <c r="AI38" s="54">
        <f t="shared" si="8"/>
        <v>0</v>
      </c>
      <c r="AJ38" s="31">
        <v>12.28</v>
      </c>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43951</v>
      </c>
      <c r="AA39" s="53">
        <v>12</v>
      </c>
      <c r="AB39" s="53"/>
      <c r="AC39" s="53"/>
      <c r="AD39" s="54">
        <f t="shared" si="11"/>
        <v>0</v>
      </c>
      <c r="AE39" s="54">
        <f t="shared" si="5"/>
        <v>0</v>
      </c>
      <c r="AF39" s="207"/>
      <c r="AG39" s="54">
        <f t="shared" si="6"/>
        <v>0</v>
      </c>
      <c r="AH39" s="54">
        <f t="shared" si="21"/>
        <v>0</v>
      </c>
      <c r="AI39" s="54">
        <f t="shared" si="8"/>
        <v>0</v>
      </c>
      <c r="AJ39" s="31">
        <v>12.28</v>
      </c>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43952</v>
      </c>
      <c r="AA40" s="53">
        <v>12</v>
      </c>
      <c r="AB40" s="53"/>
      <c r="AC40" s="53"/>
      <c r="AD40" s="54">
        <f>(AT36+AT74+AT112+AT150)</f>
        <v>0</v>
      </c>
      <c r="AE40" s="54">
        <f t="shared" si="5"/>
        <v>0</v>
      </c>
      <c r="AF40" s="208"/>
      <c r="AG40" s="54">
        <f t="shared" si="6"/>
        <v>0</v>
      </c>
      <c r="AH40" s="54">
        <f t="shared" si="21"/>
        <v>0</v>
      </c>
      <c r="AI40" s="54">
        <f t="shared" si="8"/>
        <v>0</v>
      </c>
      <c r="AJ40" s="31">
        <v>12.28</v>
      </c>
      <c r="AK40" s="55">
        <f t="shared" si="9"/>
        <v>0</v>
      </c>
      <c r="AL40" s="36" t="s">
        <v>445</v>
      </c>
      <c r="AW40" s="619" t="s">
        <v>96</v>
      </c>
      <c r="AX40" s="36" t="s">
        <v>491</v>
      </c>
      <c r="BE40" s="619" t="s">
        <v>96</v>
      </c>
      <c r="BF40" s="36" t="s">
        <v>494</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43953</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369</v>
      </c>
      <c r="Q51" s="1018"/>
      <c r="R51" s="1018"/>
      <c r="S51" s="1018" t="s">
        <v>443</v>
      </c>
      <c r="T51" s="1018"/>
      <c r="U51" s="1018"/>
      <c r="V51" s="731" t="s">
        <v>438</v>
      </c>
      <c r="W51" s="737" t="s">
        <v>444</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12</v>
      </c>
      <c r="AB55" s="58">
        <f t="shared" ref="AB55:AB85" si="32">IF(AJ10=$AA$2,AB10,IF(AJ10=$AB$2,AB10,0))</f>
        <v>0</v>
      </c>
      <c r="AC55" s="58">
        <f t="shared" ref="AC55:AC85" si="33">IF(AJ10=$AA$2,AC10,IF(AJ10=$AB$2,AC10,0))</f>
        <v>0</v>
      </c>
      <c r="AD55" s="58">
        <f t="shared" ref="AD55:AD85" si="34">IF(AJ10=$AA$2,AD10,IF(AJ10=$AB$2,AD10,0))</f>
        <v>0.8</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12</v>
      </c>
      <c r="AB56" s="58">
        <f t="shared" si="32"/>
        <v>0</v>
      </c>
      <c r="AC56" s="58">
        <f t="shared" si="33"/>
        <v>0</v>
      </c>
      <c r="AD56" s="58">
        <f t="shared" si="34"/>
        <v>0.8</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12</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52" t="s">
        <v>307</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12</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11</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11</v>
      </c>
      <c r="AB60" s="58">
        <f t="shared" si="32"/>
        <v>0</v>
      </c>
      <c r="AC60" s="58">
        <f t="shared" si="33"/>
        <v>0</v>
      </c>
      <c r="AD60" s="58">
        <f t="shared" si="34"/>
        <v>0.8</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977" t="s">
        <v>237</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11</v>
      </c>
      <c r="AB61" s="58">
        <f t="shared" si="32"/>
        <v>0</v>
      </c>
      <c r="AC61" s="58">
        <f t="shared" si="33"/>
        <v>0</v>
      </c>
      <c r="AD61" s="58">
        <f t="shared" si="34"/>
        <v>1.2000000000000002</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10</v>
      </c>
      <c r="AB62" s="58">
        <f t="shared" si="32"/>
        <v>0</v>
      </c>
      <c r="AC62" s="58">
        <f t="shared" si="33"/>
        <v>0</v>
      </c>
      <c r="AD62" s="58">
        <f t="shared" si="34"/>
        <v>1.2000000000000002</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986" t="s">
        <v>552</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10</v>
      </c>
      <c r="AB63" s="58">
        <f t="shared" si="32"/>
        <v>0</v>
      </c>
      <c r="AC63" s="58">
        <f t="shared" si="33"/>
        <v>0</v>
      </c>
      <c r="AD63" s="58">
        <f t="shared" si="34"/>
        <v>0.4</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10</v>
      </c>
      <c r="AB64" s="58">
        <f t="shared" si="32"/>
        <v>0</v>
      </c>
      <c r="AC64" s="58">
        <f t="shared" si="33"/>
        <v>0</v>
      </c>
      <c r="AD64" s="58">
        <f t="shared" si="34"/>
        <v>0.4</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1011" t="str">
        <f>A6</f>
        <v>USCGC Atlantic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10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10</v>
      </c>
      <c r="AB66" s="58">
        <f t="shared" si="32"/>
        <v>0</v>
      </c>
      <c r="AC66" s="58">
        <f t="shared" si="33"/>
        <v>0</v>
      </c>
      <c r="AD66" s="58">
        <f t="shared" si="34"/>
        <v>1.2000000000000002</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10</v>
      </c>
      <c r="AB67" s="58">
        <f t="shared" si="32"/>
        <v>0</v>
      </c>
      <c r="AC67" s="58">
        <f t="shared" si="33"/>
        <v>0</v>
      </c>
      <c r="AD67" s="58">
        <f t="shared" si="34"/>
        <v>1.2000000000000002</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10</v>
      </c>
      <c r="AB68" s="58">
        <f t="shared" si="32"/>
        <v>0</v>
      </c>
      <c r="AC68" s="58">
        <f t="shared" si="33"/>
        <v>0</v>
      </c>
      <c r="AD68" s="58">
        <f t="shared" si="34"/>
        <v>1.2000000000000002</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10</v>
      </c>
      <c r="AB69" s="58">
        <f t="shared" si="32"/>
        <v>0</v>
      </c>
      <c r="AC69" s="58">
        <f t="shared" si="33"/>
        <v>0</v>
      </c>
      <c r="AD69" s="58">
        <f t="shared" si="34"/>
        <v>0.8</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10</v>
      </c>
      <c r="AB70" s="58">
        <f t="shared" si="32"/>
        <v>0</v>
      </c>
      <c r="AC70" s="58">
        <f t="shared" si="33"/>
        <v>0</v>
      </c>
      <c r="AD70" s="58">
        <f t="shared" si="34"/>
        <v>1.2000000000000002</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98">
        <f>Menu!F6</f>
        <v>43951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10</v>
      </c>
      <c r="AB71" s="58">
        <f t="shared" si="32"/>
        <v>0</v>
      </c>
      <c r="AC71" s="58">
        <f t="shared" si="33"/>
        <v>0</v>
      </c>
      <c r="AD71" s="58">
        <f t="shared" si="34"/>
        <v>0.8</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11</v>
      </c>
      <c r="AB72" s="58">
        <f t="shared" si="32"/>
        <v>0</v>
      </c>
      <c r="AC72" s="58">
        <f t="shared" si="33"/>
        <v>0</v>
      </c>
      <c r="AD72" s="58">
        <f t="shared" si="34"/>
        <v>0.8</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92">
        <f>IF(D12="AFLOAT",AA2,AB2)</f>
        <v>12.28</v>
      </c>
      <c r="H73" s="981"/>
      <c r="I73" s="993"/>
      <c r="J73" s="1040">
        <f>(AC2)</f>
        <v>0</v>
      </c>
      <c r="K73" s="981"/>
      <c r="L73" s="981"/>
      <c r="M73" s="1041"/>
      <c r="N73" s="995"/>
      <c r="O73" s="995"/>
      <c r="P73" s="475"/>
      <c r="Q73" s="475"/>
      <c r="R73" s="480"/>
      <c r="S73" s="1046" t="s">
        <v>308</v>
      </c>
      <c r="T73" s="981"/>
      <c r="U73" s="981"/>
      <c r="V73" s="981"/>
      <c r="W73" s="982"/>
      <c r="AA73" s="58">
        <f t="shared" si="31"/>
        <v>11</v>
      </c>
      <c r="AB73" s="58">
        <f t="shared" si="32"/>
        <v>0</v>
      </c>
      <c r="AC73" s="58">
        <f t="shared" si="33"/>
        <v>0</v>
      </c>
      <c r="AD73" s="58">
        <f t="shared" si="34"/>
        <v>0.8</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98">
        <f>Menu!F5</f>
        <v>43922</v>
      </c>
      <c r="B74" s="999"/>
      <c r="C74" s="990"/>
      <c r="D74" s="1000">
        <f>Menu!F6</f>
        <v>43951</v>
      </c>
      <c r="E74" s="999"/>
      <c r="F74" s="990"/>
      <c r="G74" s="483"/>
      <c r="H74" s="483"/>
      <c r="I74" s="484"/>
      <c r="J74" s="483" t="s">
        <v>135</v>
      </c>
      <c r="K74" s="483"/>
      <c r="L74" s="483"/>
      <c r="M74" s="485"/>
      <c r="N74" s="486"/>
      <c r="O74" s="486"/>
      <c r="P74" s="475"/>
      <c r="Q74" s="475"/>
      <c r="R74" s="480"/>
      <c r="S74" s="1013" t="s">
        <v>356</v>
      </c>
      <c r="T74" s="984"/>
      <c r="U74" s="984"/>
      <c r="V74" s="984"/>
      <c r="W74" s="985"/>
      <c r="AA74" s="58">
        <f t="shared" si="31"/>
        <v>11</v>
      </c>
      <c r="AB74" s="58">
        <f t="shared" si="32"/>
        <v>0</v>
      </c>
      <c r="AC74" s="58">
        <f t="shared" si="33"/>
        <v>0</v>
      </c>
      <c r="AD74" s="58">
        <f t="shared" si="34"/>
        <v>0.8</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343</v>
      </c>
      <c r="J75" s="490"/>
      <c r="K75" s="490"/>
      <c r="L75" s="490">
        <f>AA127</f>
        <v>0</v>
      </c>
      <c r="M75" s="491"/>
      <c r="N75" s="492"/>
      <c r="O75" s="492"/>
      <c r="P75" s="475"/>
      <c r="Q75" s="475"/>
      <c r="R75" s="480"/>
      <c r="S75" s="1042">
        <f>SUM(I75:L75)</f>
        <v>343</v>
      </c>
      <c r="T75" s="910"/>
      <c r="U75" s="910"/>
      <c r="V75" s="627" t="str">
        <f>IF(S75&gt;0,"/","")</f>
        <v>/</v>
      </c>
      <c r="W75" s="532">
        <f>ROUND(((I75*$G$73)+(L75*$J$73)),3)</f>
        <v>4212.04</v>
      </c>
      <c r="AA75" s="58">
        <f t="shared" si="31"/>
        <v>11</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11</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11</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17.600000000000009</v>
      </c>
      <c r="J78" s="490"/>
      <c r="K78" s="490"/>
      <c r="L78" s="490">
        <f>AD127</f>
        <v>0</v>
      </c>
      <c r="M78" s="491"/>
      <c r="N78" s="492"/>
      <c r="O78" s="492"/>
      <c r="P78" s="475"/>
      <c r="Q78" s="475"/>
      <c r="R78" s="480"/>
      <c r="S78" s="1042">
        <f t="shared" si="39"/>
        <v>17.600000000000009</v>
      </c>
      <c r="T78" s="910"/>
      <c r="U78" s="910"/>
      <c r="V78" s="627" t="str">
        <f t="shared" si="40"/>
        <v>/</v>
      </c>
      <c r="W78" s="532">
        <f>ROUND(((I78*$G$73)+(L78*$J$73)),3)</f>
        <v>216.12799999999999</v>
      </c>
      <c r="AA78" s="58">
        <f t="shared" si="31"/>
        <v>12</v>
      </c>
      <c r="AB78" s="58">
        <f t="shared" si="32"/>
        <v>0</v>
      </c>
      <c r="AC78" s="58">
        <f t="shared" si="33"/>
        <v>0</v>
      </c>
      <c r="AD78" s="58">
        <f t="shared" si="34"/>
        <v>0.8</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12</v>
      </c>
      <c r="AB79" s="58">
        <f t="shared" si="32"/>
        <v>0</v>
      </c>
      <c r="AC79" s="58">
        <f t="shared" si="33"/>
        <v>0</v>
      </c>
      <c r="AD79" s="58">
        <f t="shared" si="34"/>
        <v>0.8</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12</v>
      </c>
      <c r="AB80" s="58">
        <f t="shared" si="32"/>
        <v>0</v>
      </c>
      <c r="AC80" s="58">
        <f t="shared" si="33"/>
        <v>0</v>
      </c>
      <c r="AD80" s="58">
        <f t="shared" si="34"/>
        <v>0.8</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12</v>
      </c>
      <c r="AB81" s="58">
        <f t="shared" si="32"/>
        <v>0</v>
      </c>
      <c r="AC81" s="58">
        <f t="shared" si="33"/>
        <v>0</v>
      </c>
      <c r="AD81" s="58">
        <f t="shared" si="34"/>
        <v>0.8</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12</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v>2</v>
      </c>
      <c r="AO82" s="31"/>
      <c r="AP82" s="39"/>
      <c r="AQ82" s="39"/>
      <c r="AR82" s="39"/>
      <c r="AS82" s="39"/>
      <c r="AT82" s="32">
        <f t="shared" ref="AT82:AT112" si="45">((AM82*$AM$4)+(AN82*$AN$4)+(AO82*$AO$4)+(AP82*$AP$4)+(AQ82*$AQ$4)+(AR82*$AR$4))</f>
        <v>0.8</v>
      </c>
      <c r="AU82" s="40">
        <f t="shared" ref="AU82:AU112" si="46">((AM82*$AM$79)+(AN82*$AN$79)+(AO82*$AO$79)+(AP82*$AP$79)+(AQ82*$AQ$79)+(AR82*$AR$79))</f>
        <v>9.3000000000000007</v>
      </c>
      <c r="AV82" s="716"/>
      <c r="AW82" s="631" t="s">
        <v>96</v>
      </c>
      <c r="AX82" s="43">
        <f>(AX44)</f>
        <v>43922</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12</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v>2</v>
      </c>
      <c r="AO83" s="31"/>
      <c r="AP83" s="39"/>
      <c r="AQ83" s="39"/>
      <c r="AR83" s="39"/>
      <c r="AS83" s="39"/>
      <c r="AT83" s="32">
        <f t="shared" si="45"/>
        <v>0.8</v>
      </c>
      <c r="AU83" s="40">
        <f t="shared" si="46"/>
        <v>9.3000000000000007</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360.6</v>
      </c>
      <c r="J84" s="511"/>
      <c r="K84" s="511"/>
      <c r="L84" s="511">
        <f>SUM(L75:L83)</f>
        <v>0</v>
      </c>
      <c r="M84" s="512"/>
      <c r="N84" s="513"/>
      <c r="O84" s="513"/>
      <c r="P84" s="514"/>
      <c r="Q84" s="514"/>
      <c r="R84" s="515"/>
      <c r="S84" s="1042">
        <f>SUM(I84:L84)</f>
        <v>360.6</v>
      </c>
      <c r="T84" s="910"/>
      <c r="U84" s="910"/>
      <c r="V84" s="516" t="s">
        <v>147</v>
      </c>
      <c r="W84" s="535">
        <f>ROUND(SUM(W75:W83),2)</f>
        <v>4428.17</v>
      </c>
      <c r="AA84" s="58">
        <f t="shared" si="31"/>
        <v>12</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12</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16</v>
      </c>
      <c r="E87" s="627" t="s">
        <v>156</v>
      </c>
      <c r="F87" s="523">
        <f>ROUND(C87*D87,2)</f>
        <v>3.2</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343</v>
      </c>
      <c r="AB87" s="58">
        <f t="shared" si="48"/>
        <v>0</v>
      </c>
      <c r="AC87" s="58">
        <f t="shared" si="48"/>
        <v>0</v>
      </c>
      <c r="AD87" s="58">
        <f t="shared" si="48"/>
        <v>17.600000000000009</v>
      </c>
      <c r="AE87" s="58">
        <f t="shared" si="48"/>
        <v>0</v>
      </c>
      <c r="AG87" s="58">
        <f t="shared" si="48"/>
        <v>0</v>
      </c>
      <c r="AH87" s="58">
        <f t="shared" si="48"/>
        <v>0</v>
      </c>
      <c r="AI87" s="58">
        <f t="shared" si="48"/>
        <v>0</v>
      </c>
      <c r="AL87" s="43">
        <f t="shared" si="44"/>
        <v>43927</v>
      </c>
      <c r="AM87" s="31"/>
      <c r="AN87" s="31">
        <v>2</v>
      </c>
      <c r="AO87" s="31"/>
      <c r="AP87" s="39"/>
      <c r="AQ87" s="39"/>
      <c r="AR87" s="39"/>
      <c r="AS87" s="39"/>
      <c r="AT87" s="32">
        <f t="shared" si="45"/>
        <v>0.8</v>
      </c>
      <c r="AU87" s="40">
        <f t="shared" si="46"/>
        <v>9.3000000000000007</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36</v>
      </c>
      <c r="E88" s="627" t="s">
        <v>156</v>
      </c>
      <c r="F88" s="523">
        <f t="shared" ref="F88:F89" si="49">ROUND(C88*D88,2)</f>
        <v>14.4</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43928</v>
      </c>
      <c r="AM88" s="31">
        <v>2</v>
      </c>
      <c r="AN88" s="31">
        <v>2</v>
      </c>
      <c r="AO88" s="31"/>
      <c r="AP88" s="39"/>
      <c r="AQ88" s="39"/>
      <c r="AR88" s="39"/>
      <c r="AS88" s="39"/>
      <c r="AT88" s="32">
        <f t="shared" si="45"/>
        <v>1.2000000000000002</v>
      </c>
      <c r="AU88" s="40">
        <f t="shared" si="46"/>
        <v>14.4</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43929</v>
      </c>
      <c r="AM89" s="31">
        <v>2</v>
      </c>
      <c r="AN89" s="31">
        <v>2</v>
      </c>
      <c r="AO89" s="31"/>
      <c r="AP89" s="39"/>
      <c r="AQ89" s="39"/>
      <c r="AR89" s="39"/>
      <c r="AS89" s="39"/>
      <c r="AT89" s="32">
        <f t="shared" si="45"/>
        <v>1.2000000000000002</v>
      </c>
      <c r="AU89" s="40">
        <f t="shared" si="46"/>
        <v>14.4</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43930</v>
      </c>
      <c r="AM90" s="31">
        <v>2</v>
      </c>
      <c r="AN90" s="31"/>
      <c r="AO90" s="31"/>
      <c r="AP90" s="39"/>
      <c r="AQ90" s="39"/>
      <c r="AR90" s="39"/>
      <c r="AS90" s="39"/>
      <c r="AT90" s="32">
        <f t="shared" si="45"/>
        <v>0.4</v>
      </c>
      <c r="AU90" s="40">
        <f t="shared" si="46"/>
        <v>5.0999999999999996</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43931</v>
      </c>
      <c r="AM91" s="31">
        <v>2</v>
      </c>
      <c r="AN91" s="31"/>
      <c r="AO91" s="31"/>
      <c r="AP91" s="39"/>
      <c r="AQ91" s="39"/>
      <c r="AR91" s="39"/>
      <c r="AS91" s="39"/>
      <c r="AT91" s="32">
        <f t="shared" si="45"/>
        <v>0.4</v>
      </c>
      <c r="AU91" s="40">
        <f t="shared" si="46"/>
        <v>5.0999999999999996</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17.600000000000001</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43933</v>
      </c>
      <c r="AM93" s="31">
        <v>2</v>
      </c>
      <c r="AN93" s="31">
        <v>2</v>
      </c>
      <c r="AO93" s="31"/>
      <c r="AP93" s="39"/>
      <c r="AQ93" s="39"/>
      <c r="AR93" s="39"/>
      <c r="AS93" s="39"/>
      <c r="AT93" s="32">
        <f t="shared" si="45"/>
        <v>1.2000000000000002</v>
      </c>
      <c r="AU93" s="40">
        <f t="shared" si="46"/>
        <v>14.4</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368</v>
      </c>
      <c r="T94" s="961"/>
      <c r="U94" s="962"/>
      <c r="V94" s="963">
        <f>AU38+AU76+AU114+AU152</f>
        <v>208.2000000000001</v>
      </c>
      <c r="W94" s="964"/>
      <c r="X94" s="209"/>
      <c r="AA94" s="62" t="s">
        <v>122</v>
      </c>
      <c r="AB94" s="62" t="s">
        <v>122</v>
      </c>
      <c r="AC94" s="62" t="s">
        <v>122</v>
      </c>
      <c r="AD94" s="62" t="s">
        <v>122</v>
      </c>
      <c r="AE94" s="62" t="s">
        <v>122</v>
      </c>
      <c r="AF94" s="62"/>
      <c r="AG94" s="62" t="s">
        <v>122</v>
      </c>
      <c r="AH94" s="62" t="s">
        <v>122</v>
      </c>
      <c r="AI94" s="62" t="s">
        <v>122</v>
      </c>
      <c r="AL94" s="43">
        <f t="shared" si="44"/>
        <v>43934</v>
      </c>
      <c r="AM94" s="31">
        <v>2</v>
      </c>
      <c r="AN94" s="31">
        <v>2</v>
      </c>
      <c r="AO94" s="31"/>
      <c r="AP94" s="39"/>
      <c r="AQ94" s="39"/>
      <c r="AR94" s="39"/>
      <c r="AS94" s="39"/>
      <c r="AT94" s="32">
        <f t="shared" si="45"/>
        <v>1.2000000000000002</v>
      </c>
      <c r="AU94" s="40">
        <f t="shared" si="46"/>
        <v>14.4</v>
      </c>
      <c r="AV94" s="716"/>
      <c r="AW94" s="631" t="s">
        <v>96</v>
      </c>
      <c r="AX94" s="43">
        <f t="shared" si="47"/>
        <v>43934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v>2</v>
      </c>
      <c r="AN95" s="31">
        <v>2</v>
      </c>
      <c r="AO95" s="31"/>
      <c r="AP95" s="39"/>
      <c r="AQ95" s="39"/>
      <c r="AR95" s="39"/>
      <c r="AS95" s="39"/>
      <c r="AT95" s="32">
        <f t="shared" si="45"/>
        <v>1.2000000000000002</v>
      </c>
      <c r="AU95" s="40">
        <f t="shared" si="46"/>
        <v>14.4</v>
      </c>
      <c r="AV95" s="716"/>
      <c r="AW95" s="631" t="s">
        <v>96</v>
      </c>
      <c r="AX95" s="43">
        <f t="shared" si="47"/>
        <v>43935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v>2</v>
      </c>
      <c r="AO96" s="31"/>
      <c r="AP96" s="39"/>
      <c r="AQ96" s="39"/>
      <c r="AR96" s="39"/>
      <c r="AS96" s="39"/>
      <c r="AT96" s="32">
        <f t="shared" si="45"/>
        <v>0.8</v>
      </c>
      <c r="AU96" s="40">
        <f t="shared" si="46"/>
        <v>9.3000000000000007</v>
      </c>
      <c r="AV96" s="716"/>
      <c r="AW96" s="631" t="s">
        <v>96</v>
      </c>
      <c r="AX96" s="43">
        <f t="shared" si="47"/>
        <v>43936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v>2</v>
      </c>
      <c r="AN97" s="31">
        <v>2</v>
      </c>
      <c r="AO97" s="31"/>
      <c r="AP97" s="39"/>
      <c r="AQ97" s="39"/>
      <c r="AR97" s="39"/>
      <c r="AS97" s="39"/>
      <c r="AT97" s="32">
        <f t="shared" si="45"/>
        <v>1.2000000000000002</v>
      </c>
      <c r="AU97" s="40">
        <f t="shared" si="46"/>
        <v>14.4</v>
      </c>
      <c r="AV97" s="716"/>
      <c r="AW97" s="631" t="s">
        <v>96</v>
      </c>
      <c r="AX97" s="43">
        <f t="shared" si="47"/>
        <v>43937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v>2</v>
      </c>
      <c r="AO98" s="31"/>
      <c r="AP98" s="39"/>
      <c r="AQ98" s="39"/>
      <c r="AR98" s="39"/>
      <c r="AS98" s="39"/>
      <c r="AT98" s="32">
        <f t="shared" si="45"/>
        <v>0.8</v>
      </c>
      <c r="AU98" s="40">
        <f t="shared" si="46"/>
        <v>9.3000000000000007</v>
      </c>
      <c r="AV98" s="716"/>
      <c r="AW98" s="631" t="s">
        <v>96</v>
      </c>
      <c r="AX98" s="43">
        <f t="shared" si="47"/>
        <v>43938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v>2</v>
      </c>
      <c r="AO99" s="31"/>
      <c r="AP99" s="39"/>
      <c r="AQ99" s="39"/>
      <c r="AR99" s="39"/>
      <c r="AS99" s="39"/>
      <c r="AT99" s="32">
        <f t="shared" si="45"/>
        <v>0.8</v>
      </c>
      <c r="AU99" s="40">
        <f t="shared" si="46"/>
        <v>9.3000000000000007</v>
      </c>
      <c r="AV99" s="716"/>
      <c r="AW99" s="631" t="s">
        <v>96</v>
      </c>
      <c r="AX99" s="43">
        <f t="shared" si="47"/>
        <v>43939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v>2</v>
      </c>
      <c r="AO100" s="31"/>
      <c r="AP100" s="39"/>
      <c r="AQ100" s="39"/>
      <c r="AR100" s="39"/>
      <c r="AS100" s="39"/>
      <c r="AT100" s="32">
        <f t="shared" si="45"/>
        <v>0.8</v>
      </c>
      <c r="AU100" s="40">
        <f t="shared" si="46"/>
        <v>9.3000000000000007</v>
      </c>
      <c r="AV100" s="716"/>
      <c r="AW100" s="631" t="s">
        <v>96</v>
      </c>
      <c r="AX100" s="43">
        <f t="shared" si="47"/>
        <v>43940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v>2</v>
      </c>
      <c r="AO101" s="31"/>
      <c r="AP101" s="39"/>
      <c r="AQ101" s="39"/>
      <c r="AR101" s="39"/>
      <c r="AS101" s="39"/>
      <c r="AT101" s="32">
        <f t="shared" si="45"/>
        <v>0.8</v>
      </c>
      <c r="AU101" s="40">
        <f t="shared" si="46"/>
        <v>9.3000000000000007</v>
      </c>
      <c r="AV101" s="716"/>
      <c r="AW101" s="631" t="s">
        <v>96</v>
      </c>
      <c r="AX101" s="43">
        <f t="shared" si="47"/>
        <v>43941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v>2</v>
      </c>
      <c r="AO105" s="31"/>
      <c r="AP105" s="39"/>
      <c r="AQ105" s="39"/>
      <c r="AR105" s="39"/>
      <c r="AS105" s="39"/>
      <c r="AT105" s="32">
        <f t="shared" si="45"/>
        <v>0.8</v>
      </c>
      <c r="AU105" s="40">
        <f t="shared" si="46"/>
        <v>9.3000000000000007</v>
      </c>
      <c r="AV105" s="716"/>
      <c r="AW105" s="631" t="s">
        <v>96</v>
      </c>
      <c r="AX105" s="43">
        <f t="shared" si="47"/>
        <v>43945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v>2</v>
      </c>
      <c r="AO106" s="31"/>
      <c r="AP106" s="39"/>
      <c r="AQ106" s="39"/>
      <c r="AR106" s="39"/>
      <c r="AS106" s="39"/>
      <c r="AT106" s="32">
        <f t="shared" si="45"/>
        <v>0.8</v>
      </c>
      <c r="AU106" s="40">
        <f t="shared" si="46"/>
        <v>9.3000000000000007</v>
      </c>
      <c r="AV106" s="716"/>
      <c r="AW106" s="631" t="s">
        <v>96</v>
      </c>
      <c r="AX106" s="43">
        <f t="shared" si="47"/>
        <v>43946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v>2</v>
      </c>
      <c r="AO107" s="31"/>
      <c r="AP107" s="39"/>
      <c r="AQ107" s="39"/>
      <c r="AR107" s="39"/>
      <c r="AS107" s="39"/>
      <c r="AT107" s="32">
        <f t="shared" si="45"/>
        <v>0.8</v>
      </c>
      <c r="AU107" s="40">
        <f t="shared" si="46"/>
        <v>9.3000000000000007</v>
      </c>
      <c r="AV107" s="716"/>
      <c r="AW107" s="631" t="s">
        <v>96</v>
      </c>
      <c r="AX107" s="43">
        <f t="shared" si="47"/>
        <v>43947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v>2</v>
      </c>
      <c r="AO108" s="31"/>
      <c r="AP108" s="39"/>
      <c r="AQ108" s="39"/>
      <c r="AR108" s="39"/>
      <c r="AS108" s="39"/>
      <c r="AT108" s="32">
        <f t="shared" si="45"/>
        <v>0.8</v>
      </c>
      <c r="AU108" s="40">
        <f t="shared" si="46"/>
        <v>9.3000000000000007</v>
      </c>
      <c r="AV108" s="716"/>
      <c r="AW108" s="631" t="s">
        <v>96</v>
      </c>
      <c r="AX108" s="43">
        <f t="shared" si="47"/>
        <v>43948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369</v>
      </c>
      <c r="Q110" s="1018"/>
      <c r="R110" s="1018"/>
      <c r="S110" s="1018" t="s">
        <v>443</v>
      </c>
      <c r="T110" s="1018"/>
      <c r="U110" s="1021"/>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16 = 3.20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36 = 14.40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16</v>
      </c>
      <c r="AN114" s="32">
        <f t="shared" si="62"/>
        <v>36</v>
      </c>
      <c r="AO114" s="32">
        <f t="shared" si="62"/>
        <v>0</v>
      </c>
      <c r="AP114" s="32">
        <f t="shared" si="62"/>
        <v>0</v>
      </c>
      <c r="AQ114" s="32">
        <f t="shared" si="62"/>
        <v>0</v>
      </c>
      <c r="AR114" s="32">
        <f t="shared" si="62"/>
        <v>0</v>
      </c>
      <c r="AS114" s="32">
        <f>SUM(AS82:AS112)</f>
        <v>0</v>
      </c>
      <c r="AT114" s="32">
        <f>SUM(AT82:AT112)</f>
        <v>17.600000000000009</v>
      </c>
      <c r="AU114" s="40">
        <f>SUM(AU82:AU112)</f>
        <v>208.2000000000001</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52" t="s">
        <v>307</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2</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2</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2</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2</v>
      </c>
      <c r="AN163" s="58">
        <f t="shared" si="69"/>
        <v>2</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2</v>
      </c>
      <c r="AN164" s="58">
        <f t="shared" si="69"/>
        <v>2</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2</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2</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2</v>
      </c>
      <c r="AN168" s="58">
        <f t="shared" si="71"/>
        <v>2</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2</v>
      </c>
      <c r="AN169" s="58">
        <f t="shared" si="71"/>
        <v>2</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2</v>
      </c>
      <c r="AN170" s="58">
        <f t="shared" si="71"/>
        <v>2</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2</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2</v>
      </c>
      <c r="AN172" s="58">
        <f t="shared" si="71"/>
        <v>2</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2</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2</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2</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2</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2</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2</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2</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2</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10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2</v>
      </c>
      <c r="AQ193" s="685">
        <f>AN120</f>
        <v>0</v>
      </c>
      <c r="AR193" s="685">
        <f t="shared" ref="AR193:AR256" si="74">AN193+AP193</f>
        <v>2</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2</v>
      </c>
      <c r="AQ196" s="685">
        <f>AN121</f>
        <v>0</v>
      </c>
      <c r="AR196" s="685">
        <f t="shared" si="74"/>
        <v>2</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2</v>
      </c>
      <c r="AQ208" s="685">
        <f>AN125</f>
        <v>0</v>
      </c>
      <c r="AR208" s="685">
        <f t="shared" si="74"/>
        <v>2</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43928</v>
      </c>
      <c r="AM210" s="686" t="s">
        <v>155</v>
      </c>
      <c r="AN210" s="685">
        <f>AM12</f>
        <v>0</v>
      </c>
      <c r="AO210" s="685">
        <f>AM50</f>
        <v>0</v>
      </c>
      <c r="AP210" s="685">
        <f>AM88</f>
        <v>2</v>
      </c>
      <c r="AQ210" s="685">
        <f>AM126</f>
        <v>0</v>
      </c>
      <c r="AR210" s="685">
        <f t="shared" si="74"/>
        <v>2</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2</v>
      </c>
      <c r="AQ211" s="685">
        <f>AN126</f>
        <v>0</v>
      </c>
      <c r="AR211" s="685">
        <f t="shared" si="74"/>
        <v>2</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43929</v>
      </c>
      <c r="AM213" s="686" t="s">
        <v>155</v>
      </c>
      <c r="AN213" s="685">
        <f>AM13</f>
        <v>0</v>
      </c>
      <c r="AO213" s="685">
        <f>AM51</f>
        <v>0</v>
      </c>
      <c r="AP213" s="685">
        <f>AM89</f>
        <v>2</v>
      </c>
      <c r="AQ213" s="685">
        <f>AM127</f>
        <v>0</v>
      </c>
      <c r="AR213" s="685">
        <f t="shared" si="74"/>
        <v>2</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2</v>
      </c>
      <c r="AQ214" s="685">
        <f>AN127</f>
        <v>0</v>
      </c>
      <c r="AR214" s="685">
        <f t="shared" si="74"/>
        <v>2</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43930</v>
      </c>
      <c r="AM216" s="686" t="s">
        <v>155</v>
      </c>
      <c r="AN216" s="685">
        <f>AM14</f>
        <v>0</v>
      </c>
      <c r="AO216" s="685">
        <f>AM52</f>
        <v>0</v>
      </c>
      <c r="AP216" s="685">
        <f>AM90</f>
        <v>2</v>
      </c>
      <c r="AQ216" s="685">
        <f>AM128</f>
        <v>0</v>
      </c>
      <c r="AR216" s="685">
        <f t="shared" si="74"/>
        <v>2</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0.8</v>
      </c>
      <c r="AA219" s="44">
        <f t="shared" ref="AA219:AA249" si="82">(AI10)</f>
        <v>0</v>
      </c>
      <c r="AL219" s="1047">
        <f t="shared" ref="AL219" si="83">AL216+1</f>
        <v>43931</v>
      </c>
      <c r="AM219" s="686" t="s">
        <v>155</v>
      </c>
      <c r="AN219" s="685">
        <f>AM15</f>
        <v>0</v>
      </c>
      <c r="AO219" s="685">
        <f>AM53</f>
        <v>0</v>
      </c>
      <c r="AP219" s="685">
        <f>AM91</f>
        <v>2</v>
      </c>
      <c r="AQ219" s="685">
        <f>AM129</f>
        <v>0</v>
      </c>
      <c r="AR219" s="685">
        <f t="shared" si="74"/>
        <v>2</v>
      </c>
      <c r="AS219" s="685">
        <f t="shared" si="75"/>
        <v>0</v>
      </c>
      <c r="AT219" s="685"/>
      <c r="AU219" s="759"/>
      <c r="AV219" s="760"/>
    </row>
    <row r="220" spans="1:48" x14ac:dyDescent="0.2">
      <c r="O220" s="31"/>
      <c r="P220" s="31"/>
      <c r="Q220" s="31"/>
      <c r="R220" s="774"/>
      <c r="S220" s="774"/>
      <c r="T220" s="774"/>
      <c r="U220" s="209"/>
      <c r="V220" s="209"/>
      <c r="W220" s="209"/>
      <c r="X220" s="209"/>
      <c r="Z220" s="44">
        <f t="shared" si="81"/>
        <v>0.8</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0.8</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1.2000000000000002</v>
      </c>
      <c r="AA225" s="44">
        <f t="shared" si="82"/>
        <v>0</v>
      </c>
      <c r="AL225" s="1047">
        <f t="shared" ref="AL225" si="85">AL222+1</f>
        <v>43933</v>
      </c>
      <c r="AM225" s="686" t="s">
        <v>155</v>
      </c>
      <c r="AN225" s="685">
        <f>AM17</f>
        <v>0</v>
      </c>
      <c r="AO225" s="685">
        <f>AM55</f>
        <v>0</v>
      </c>
      <c r="AP225" s="685">
        <f>AM93</f>
        <v>2</v>
      </c>
      <c r="AQ225" s="685">
        <f>AM131</f>
        <v>0</v>
      </c>
      <c r="AR225" s="685">
        <f t="shared" si="74"/>
        <v>2</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1.2000000000000002</v>
      </c>
      <c r="AA226" s="44">
        <f t="shared" si="82"/>
        <v>0</v>
      </c>
      <c r="AL226" s="1047"/>
      <c r="AM226" s="686" t="s">
        <v>157</v>
      </c>
      <c r="AN226" s="685">
        <f>AN17</f>
        <v>0</v>
      </c>
      <c r="AO226" s="685">
        <f>AN55</f>
        <v>0</v>
      </c>
      <c r="AP226" s="685">
        <f>AN93</f>
        <v>2</v>
      </c>
      <c r="AQ226" s="685">
        <f>AN131</f>
        <v>0</v>
      </c>
      <c r="AR226" s="685">
        <f t="shared" si="74"/>
        <v>2</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0.4</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0.4</v>
      </c>
      <c r="AA228" s="44">
        <f t="shared" si="82"/>
        <v>0</v>
      </c>
      <c r="AL228" s="1047">
        <f t="shared" ref="AL228" si="86">AL225+1</f>
        <v>43934</v>
      </c>
      <c r="AM228" s="686" t="s">
        <v>155</v>
      </c>
      <c r="AN228" s="685">
        <f>AM18</f>
        <v>0</v>
      </c>
      <c r="AO228" s="685">
        <f>AM56</f>
        <v>0</v>
      </c>
      <c r="AP228" s="685">
        <f>AM94</f>
        <v>2</v>
      </c>
      <c r="AQ228" s="685">
        <f>AM132</f>
        <v>0</v>
      </c>
      <c r="AR228" s="685">
        <f t="shared" si="74"/>
        <v>2</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2</v>
      </c>
      <c r="AQ229" s="685">
        <f>AN132</f>
        <v>0</v>
      </c>
      <c r="AR229" s="685">
        <f t="shared" si="74"/>
        <v>2</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1.2000000000000002</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1.2000000000000002</v>
      </c>
      <c r="AA231" s="44">
        <f t="shared" si="82"/>
        <v>0</v>
      </c>
      <c r="AL231" s="1047">
        <f t="shared" ref="AL231" si="87">AL228+1</f>
        <v>43935</v>
      </c>
      <c r="AM231" s="686" t="s">
        <v>155</v>
      </c>
      <c r="AN231" s="685">
        <f>AM19</f>
        <v>0</v>
      </c>
      <c r="AO231" s="685">
        <f>AM57</f>
        <v>0</v>
      </c>
      <c r="AP231" s="685">
        <f>AM95</f>
        <v>2</v>
      </c>
      <c r="AQ231" s="685">
        <f>AM133</f>
        <v>0</v>
      </c>
      <c r="AR231" s="685">
        <f t="shared" si="74"/>
        <v>2</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1.2000000000000002</v>
      </c>
      <c r="AA232" s="44">
        <f t="shared" si="82"/>
        <v>0</v>
      </c>
      <c r="AL232" s="1047"/>
      <c r="AM232" s="686" t="s">
        <v>157</v>
      </c>
      <c r="AN232" s="685">
        <f>AN19</f>
        <v>0</v>
      </c>
      <c r="AO232" s="685">
        <f>AN57</f>
        <v>0</v>
      </c>
      <c r="AP232" s="685">
        <f>AN95</f>
        <v>2</v>
      </c>
      <c r="AQ232" s="685">
        <f>AN133</f>
        <v>0</v>
      </c>
      <c r="AR232" s="685">
        <f t="shared" si="74"/>
        <v>2</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0.8</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1.2000000000000002</v>
      </c>
      <c r="AA234" s="44">
        <f t="shared" si="82"/>
        <v>0</v>
      </c>
      <c r="AL234" s="10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0.8</v>
      </c>
      <c r="AA235" s="44">
        <f t="shared" si="82"/>
        <v>0</v>
      </c>
      <c r="AL235" s="1047"/>
      <c r="AM235" s="686" t="s">
        <v>157</v>
      </c>
      <c r="AN235" s="685">
        <f>AN20</f>
        <v>0</v>
      </c>
      <c r="AO235" s="685">
        <f>AN58</f>
        <v>0</v>
      </c>
      <c r="AP235" s="685">
        <f>AN96</f>
        <v>2</v>
      </c>
      <c r="AQ235" s="685">
        <f>AN134</f>
        <v>0</v>
      </c>
      <c r="AR235" s="685">
        <f t="shared" si="74"/>
        <v>2</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0.8</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0.8</v>
      </c>
      <c r="AA237" s="44">
        <f t="shared" si="82"/>
        <v>0</v>
      </c>
      <c r="AL237" s="1047">
        <f t="shared" ref="AL237" si="89">AL234+1</f>
        <v>43937</v>
      </c>
      <c r="AM237" s="686" t="s">
        <v>155</v>
      </c>
      <c r="AN237" s="685">
        <f>AM21</f>
        <v>0</v>
      </c>
      <c r="AO237" s="685">
        <f>AM59</f>
        <v>0</v>
      </c>
      <c r="AP237" s="685">
        <f>AM97</f>
        <v>2</v>
      </c>
      <c r="AQ237" s="685">
        <f>AM135</f>
        <v>0</v>
      </c>
      <c r="AR237" s="685">
        <f t="shared" si="74"/>
        <v>2</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0.8</v>
      </c>
      <c r="AA238" s="44">
        <f t="shared" si="82"/>
        <v>0</v>
      </c>
      <c r="AL238" s="1047"/>
      <c r="AM238" s="686" t="s">
        <v>157</v>
      </c>
      <c r="AN238" s="685">
        <f>AN21</f>
        <v>0</v>
      </c>
      <c r="AO238" s="685">
        <f>AN59</f>
        <v>0</v>
      </c>
      <c r="AP238" s="685">
        <f>AN97</f>
        <v>2</v>
      </c>
      <c r="AQ238" s="685">
        <f>AN135</f>
        <v>0</v>
      </c>
      <c r="AR238" s="685">
        <f t="shared" si="74"/>
        <v>2</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2</v>
      </c>
      <c r="AQ241" s="685">
        <f>AN136</f>
        <v>0</v>
      </c>
      <c r="AR241" s="685">
        <f t="shared" si="74"/>
        <v>2</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0.8</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0.8</v>
      </c>
      <c r="AA243" s="44">
        <f t="shared" si="82"/>
        <v>0</v>
      </c>
      <c r="AL243" s="10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0.8</v>
      </c>
      <c r="AA244" s="44">
        <f t="shared" si="82"/>
        <v>0</v>
      </c>
      <c r="AL244" s="1047"/>
      <c r="AM244" s="686" t="s">
        <v>157</v>
      </c>
      <c r="AN244" s="685">
        <f>AN23</f>
        <v>0</v>
      </c>
      <c r="AO244" s="685">
        <f>AN61</f>
        <v>0</v>
      </c>
      <c r="AP244" s="685">
        <f>AN99</f>
        <v>2</v>
      </c>
      <c r="AQ244" s="685">
        <f>AN137</f>
        <v>0</v>
      </c>
      <c r="AR244" s="685">
        <f t="shared" si="74"/>
        <v>2</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0.8</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2</v>
      </c>
      <c r="AQ247" s="685">
        <f>AN138</f>
        <v>0</v>
      </c>
      <c r="AR247" s="685">
        <f t="shared" si="74"/>
        <v>2</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2</v>
      </c>
      <c r="AQ250" s="685">
        <f>AN139</f>
        <v>0</v>
      </c>
      <c r="AR250" s="685">
        <f t="shared" si="74"/>
        <v>2</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2</v>
      </c>
      <c r="AQ262" s="685">
        <f>AN143</f>
        <v>0</v>
      </c>
      <c r="AR262" s="685">
        <f t="shared" si="96"/>
        <v>2</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2</v>
      </c>
      <c r="AQ265" s="685">
        <f>AN144</f>
        <v>0</v>
      </c>
      <c r="AR265" s="685">
        <f t="shared" si="96"/>
        <v>2</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2</v>
      </c>
      <c r="AQ268" s="685">
        <f>AN145</f>
        <v>0</v>
      </c>
      <c r="AR268" s="685">
        <f t="shared" si="96"/>
        <v>2</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2</v>
      </c>
      <c r="AQ271" s="685">
        <f>AN146</f>
        <v>0</v>
      </c>
      <c r="AR271" s="685">
        <f t="shared" si="96"/>
        <v>2</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12</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12</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12</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12</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11</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11</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11</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10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10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10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10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10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10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10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10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10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10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11</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11</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11</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11</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11</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11</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12</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12</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12</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12</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12</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12</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12</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12</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9.3000000000000007</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9.3000000000000007</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9.3000000000000007</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14.4</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14.4</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5.0999999999999996</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5.0999999999999996</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14.4</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14.4</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14.4</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9.3000000000000007</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14.4</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9.3000000000000007</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9.3000000000000007</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9.3000000000000007</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9.3000000000000007</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9.3000000000000007</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9.3000000000000007</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9.3000000000000007</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9.3000000000000007</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I+i/YSC3UYsXK3aJDGiDgDZfvYdRJFiysp9/W+9pLrxmYZpMkF6CJVwj0NPOXPnln8ZrggXG06qqhj/uQFH8Zw==" saltValue="L+EaLSm6wmPgA9GZRTPx6Q=="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237</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553</v>
      </c>
      <c r="B4" s="953"/>
      <c r="C4" s="954"/>
      <c r="D4" s="155"/>
      <c r="E4" s="156"/>
      <c r="F4" s="622"/>
      <c r="G4" s="622"/>
      <c r="H4" s="622"/>
      <c r="I4" s="623"/>
      <c r="J4" s="2" t="str">
        <f>'CG-3123'!$A$6</f>
        <v>USCGC Atlantic</v>
      </c>
      <c r="K4" s="622"/>
      <c r="L4" s="157"/>
      <c r="M4" s="157"/>
      <c r="N4" s="539">
        <f>Menu!F5</f>
        <v>43922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291</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299</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-125</v>
      </c>
      <c r="M11" s="1077"/>
      <c r="N11" s="1078"/>
      <c r="O11" s="1079"/>
    </row>
    <row r="12" spans="1:15" x14ac:dyDescent="0.2">
      <c r="A12" s="543">
        <v>1</v>
      </c>
      <c r="B12" s="544">
        <f t="array" ref="B12:B42">'CG-3123'!$Y$300:$Y$330</f>
        <v>12</v>
      </c>
      <c r="C12" s="545">
        <f t="array" ref="C12:C42">'CG-3123'!$AA$219:$AA$249</f>
        <v>0</v>
      </c>
      <c r="D12" s="545">
        <f t="array" ref="D12:D42">'CG-3123'!$Z$219:$Z$249</f>
        <v>0.8</v>
      </c>
      <c r="E12" s="546">
        <f>B12+C12+D12</f>
        <v>12.8</v>
      </c>
      <c r="F12" s="546">
        <f t="array" ref="F12:F42">'CG-3123'!$Y$350:$Y$380</f>
        <v>9.3000000000000007</v>
      </c>
      <c r="G12" s="547">
        <f t="array" ref="G12:G42">'CG-3123'!$AJ$10:$AJ$40</f>
        <v>12.28</v>
      </c>
      <c r="H12" s="546">
        <f>ROUND((E12*G12),3)</f>
        <v>157.184</v>
      </c>
      <c r="I12" s="179"/>
      <c r="J12" s="546">
        <f>IF(H12-I12&gt;0,H12-I12,0)</f>
        <v>157.184</v>
      </c>
      <c r="K12" s="546">
        <f>IF(H12-I12&lt;0,H12-I12,0)</f>
        <v>0</v>
      </c>
      <c r="L12" s="548">
        <f t="shared" ref="L12:L42" si="0">(L11+J12+K12)</f>
        <v>32.183999999999997</v>
      </c>
      <c r="M12" s="1048"/>
      <c r="N12" s="1049"/>
      <c r="O12" s="1050"/>
    </row>
    <row r="13" spans="1:15" x14ac:dyDescent="0.2">
      <c r="A13" s="543">
        <v>2</v>
      </c>
      <c r="B13" s="549">
        <v>12</v>
      </c>
      <c r="C13" s="545">
        <v>0</v>
      </c>
      <c r="D13" s="545">
        <v>0.8</v>
      </c>
      <c r="E13" s="546">
        <f t="shared" ref="E13:E42" si="1">B13+C13+D13</f>
        <v>12.8</v>
      </c>
      <c r="F13" s="546">
        <v>9.3000000000000007</v>
      </c>
      <c r="G13" s="547">
        <v>12.28</v>
      </c>
      <c r="H13" s="546">
        <f t="shared" ref="H13:H42" si="2">ROUND((E13*G13),3)</f>
        <v>157.184</v>
      </c>
      <c r="I13" s="179"/>
      <c r="J13" s="546">
        <f t="shared" ref="J13:J28" si="3">IF(H13-I13&gt;0,H13-I13,0)</f>
        <v>157.184</v>
      </c>
      <c r="K13" s="546">
        <f t="shared" ref="K13:K28" si="4">IF(H13-I13&lt;0,H13-I13,0)</f>
        <v>0</v>
      </c>
      <c r="L13" s="548">
        <f t="shared" si="0"/>
        <v>189.36799999999999</v>
      </c>
      <c r="M13" s="1048"/>
      <c r="N13" s="1049"/>
      <c r="O13" s="1050"/>
    </row>
    <row r="14" spans="1:15" x14ac:dyDescent="0.2">
      <c r="A14" s="543">
        <v>3</v>
      </c>
      <c r="B14" s="549">
        <v>12</v>
      </c>
      <c r="C14" s="545">
        <v>0</v>
      </c>
      <c r="D14" s="545">
        <v>0</v>
      </c>
      <c r="E14" s="546">
        <f t="shared" si="1"/>
        <v>12</v>
      </c>
      <c r="F14" s="546">
        <v>0</v>
      </c>
      <c r="G14" s="547">
        <v>12.28</v>
      </c>
      <c r="H14" s="546">
        <f t="shared" si="2"/>
        <v>147.36000000000001</v>
      </c>
      <c r="I14" s="179"/>
      <c r="J14" s="546">
        <f t="shared" si="3"/>
        <v>147.36000000000001</v>
      </c>
      <c r="K14" s="546">
        <f t="shared" si="4"/>
        <v>0</v>
      </c>
      <c r="L14" s="548">
        <f t="shared" si="0"/>
        <v>336.72800000000001</v>
      </c>
      <c r="M14" s="1048"/>
      <c r="N14" s="1049"/>
      <c r="O14" s="1050"/>
    </row>
    <row r="15" spans="1:15" x14ac:dyDescent="0.2">
      <c r="A15" s="543">
        <v>4</v>
      </c>
      <c r="B15" s="549">
        <v>12</v>
      </c>
      <c r="C15" s="545">
        <v>0</v>
      </c>
      <c r="D15" s="545">
        <v>0</v>
      </c>
      <c r="E15" s="546">
        <f t="shared" si="1"/>
        <v>12</v>
      </c>
      <c r="F15" s="546">
        <v>0</v>
      </c>
      <c r="G15" s="547">
        <v>12.28</v>
      </c>
      <c r="H15" s="546">
        <f t="shared" si="2"/>
        <v>147.36000000000001</v>
      </c>
      <c r="I15" s="179"/>
      <c r="J15" s="546">
        <f t="shared" si="3"/>
        <v>147.36000000000001</v>
      </c>
      <c r="K15" s="546">
        <f t="shared" si="4"/>
        <v>0</v>
      </c>
      <c r="L15" s="548">
        <f t="shared" si="0"/>
        <v>484.08800000000002</v>
      </c>
      <c r="M15" s="1048"/>
      <c r="N15" s="1049"/>
      <c r="O15" s="1050"/>
    </row>
    <row r="16" spans="1:15" x14ac:dyDescent="0.2">
      <c r="A16" s="543">
        <v>5</v>
      </c>
      <c r="B16" s="549">
        <v>11</v>
      </c>
      <c r="C16" s="545">
        <v>0</v>
      </c>
      <c r="D16" s="545">
        <v>0</v>
      </c>
      <c r="E16" s="546">
        <f t="shared" si="1"/>
        <v>11</v>
      </c>
      <c r="F16" s="546">
        <v>0</v>
      </c>
      <c r="G16" s="547">
        <v>12.28</v>
      </c>
      <c r="H16" s="546">
        <f t="shared" si="2"/>
        <v>135.08000000000001</v>
      </c>
      <c r="I16" s="179"/>
      <c r="J16" s="546">
        <f t="shared" si="3"/>
        <v>135.08000000000001</v>
      </c>
      <c r="K16" s="546">
        <f t="shared" si="4"/>
        <v>0</v>
      </c>
      <c r="L16" s="548">
        <f t="shared" si="0"/>
        <v>619.16800000000001</v>
      </c>
      <c r="M16" s="1048"/>
      <c r="N16" s="1049"/>
      <c r="O16" s="1050"/>
    </row>
    <row r="17" spans="1:15" x14ac:dyDescent="0.2">
      <c r="A17" s="543">
        <v>6</v>
      </c>
      <c r="B17" s="549">
        <v>11</v>
      </c>
      <c r="C17" s="545">
        <v>0</v>
      </c>
      <c r="D17" s="545">
        <v>0.8</v>
      </c>
      <c r="E17" s="546">
        <f t="shared" si="1"/>
        <v>11.8</v>
      </c>
      <c r="F17" s="546">
        <v>9.3000000000000007</v>
      </c>
      <c r="G17" s="547">
        <v>12.28</v>
      </c>
      <c r="H17" s="546">
        <f t="shared" si="2"/>
        <v>144.904</v>
      </c>
      <c r="I17" s="179"/>
      <c r="J17" s="546">
        <f t="shared" si="3"/>
        <v>144.904</v>
      </c>
      <c r="K17" s="546">
        <f t="shared" si="4"/>
        <v>0</v>
      </c>
      <c r="L17" s="548">
        <f t="shared" si="0"/>
        <v>764.072</v>
      </c>
      <c r="M17" s="1048"/>
      <c r="N17" s="1049"/>
      <c r="O17" s="1050"/>
    </row>
    <row r="18" spans="1:15" x14ac:dyDescent="0.2">
      <c r="A18" s="543">
        <v>7</v>
      </c>
      <c r="B18" s="549">
        <v>11</v>
      </c>
      <c r="C18" s="545">
        <v>0</v>
      </c>
      <c r="D18" s="545">
        <v>1.2000000000000002</v>
      </c>
      <c r="E18" s="546">
        <f t="shared" si="1"/>
        <v>12.2</v>
      </c>
      <c r="F18" s="546">
        <v>14.4</v>
      </c>
      <c r="G18" s="547">
        <v>12.28</v>
      </c>
      <c r="H18" s="546">
        <f t="shared" si="2"/>
        <v>149.816</v>
      </c>
      <c r="I18" s="179"/>
      <c r="J18" s="546">
        <f t="shared" si="3"/>
        <v>149.816</v>
      </c>
      <c r="K18" s="546">
        <f t="shared" si="4"/>
        <v>0</v>
      </c>
      <c r="L18" s="548">
        <f t="shared" si="0"/>
        <v>913.88800000000003</v>
      </c>
      <c r="M18" s="1048"/>
      <c r="N18" s="1049"/>
      <c r="O18" s="1050"/>
    </row>
    <row r="19" spans="1:15" x14ac:dyDescent="0.2">
      <c r="A19" s="543">
        <v>8</v>
      </c>
      <c r="B19" s="549">
        <v>10</v>
      </c>
      <c r="C19" s="545">
        <v>0</v>
      </c>
      <c r="D19" s="545">
        <v>1.2000000000000002</v>
      </c>
      <c r="E19" s="546">
        <f t="shared" si="1"/>
        <v>11.2</v>
      </c>
      <c r="F19" s="546">
        <v>14.4</v>
      </c>
      <c r="G19" s="547">
        <v>12.28</v>
      </c>
      <c r="H19" s="546">
        <f t="shared" si="2"/>
        <v>137.536</v>
      </c>
      <c r="I19" s="179"/>
      <c r="J19" s="546">
        <f t="shared" si="3"/>
        <v>137.536</v>
      </c>
      <c r="K19" s="546">
        <f t="shared" si="4"/>
        <v>0</v>
      </c>
      <c r="L19" s="548">
        <f t="shared" si="0"/>
        <v>1051.424</v>
      </c>
      <c r="M19" s="1048"/>
      <c r="N19" s="1049"/>
      <c r="O19" s="1050"/>
    </row>
    <row r="20" spans="1:15" x14ac:dyDescent="0.2">
      <c r="A20" s="543">
        <v>9</v>
      </c>
      <c r="B20" s="549">
        <v>10</v>
      </c>
      <c r="C20" s="545">
        <v>0</v>
      </c>
      <c r="D20" s="545">
        <v>0.4</v>
      </c>
      <c r="E20" s="546">
        <f t="shared" si="1"/>
        <v>10.4</v>
      </c>
      <c r="F20" s="546">
        <v>5.0999999999999996</v>
      </c>
      <c r="G20" s="547">
        <v>12.28</v>
      </c>
      <c r="H20" s="546">
        <f t="shared" si="2"/>
        <v>127.712</v>
      </c>
      <c r="I20" s="179"/>
      <c r="J20" s="546">
        <f t="shared" si="3"/>
        <v>127.712</v>
      </c>
      <c r="K20" s="546">
        <f t="shared" si="4"/>
        <v>0</v>
      </c>
      <c r="L20" s="548">
        <f t="shared" si="0"/>
        <v>1179.136</v>
      </c>
      <c r="M20" s="349"/>
      <c r="N20" s="350"/>
      <c r="O20" s="351"/>
    </row>
    <row r="21" spans="1:15" x14ac:dyDescent="0.2">
      <c r="A21" s="543">
        <v>10</v>
      </c>
      <c r="B21" s="549">
        <v>10</v>
      </c>
      <c r="C21" s="545">
        <v>0</v>
      </c>
      <c r="D21" s="545">
        <v>0.4</v>
      </c>
      <c r="E21" s="546">
        <f t="shared" si="1"/>
        <v>10.4</v>
      </c>
      <c r="F21" s="546">
        <v>5.0999999999999996</v>
      </c>
      <c r="G21" s="547">
        <v>12.28</v>
      </c>
      <c r="H21" s="546">
        <f t="shared" si="2"/>
        <v>127.712</v>
      </c>
      <c r="I21" s="179"/>
      <c r="J21" s="546">
        <f t="shared" si="3"/>
        <v>127.712</v>
      </c>
      <c r="K21" s="546">
        <f t="shared" si="4"/>
        <v>0</v>
      </c>
      <c r="L21" s="548">
        <f t="shared" si="0"/>
        <v>1306.848</v>
      </c>
      <c r="M21" s="1048"/>
      <c r="N21" s="1049"/>
      <c r="O21" s="1050"/>
    </row>
    <row r="22" spans="1:15" x14ac:dyDescent="0.2">
      <c r="A22" s="543">
        <v>11</v>
      </c>
      <c r="B22" s="549">
        <v>10</v>
      </c>
      <c r="C22" s="545">
        <v>0</v>
      </c>
      <c r="D22" s="545">
        <v>0</v>
      </c>
      <c r="E22" s="546">
        <f t="shared" si="1"/>
        <v>10</v>
      </c>
      <c r="F22" s="546">
        <v>0</v>
      </c>
      <c r="G22" s="547">
        <v>12.28</v>
      </c>
      <c r="H22" s="546">
        <f t="shared" si="2"/>
        <v>122.8</v>
      </c>
      <c r="I22" s="179"/>
      <c r="J22" s="546">
        <f t="shared" si="3"/>
        <v>122.8</v>
      </c>
      <c r="K22" s="546">
        <f t="shared" si="4"/>
        <v>0</v>
      </c>
      <c r="L22" s="548">
        <f t="shared" si="0"/>
        <v>1429.6479999999999</v>
      </c>
      <c r="M22" s="1048"/>
      <c r="N22" s="1049"/>
      <c r="O22" s="1050"/>
    </row>
    <row r="23" spans="1:15" x14ac:dyDescent="0.2">
      <c r="A23" s="543">
        <v>12</v>
      </c>
      <c r="B23" s="549">
        <v>10</v>
      </c>
      <c r="C23" s="545">
        <v>0</v>
      </c>
      <c r="D23" s="545">
        <v>1.2000000000000002</v>
      </c>
      <c r="E23" s="546">
        <f t="shared" si="1"/>
        <v>11.2</v>
      </c>
      <c r="F23" s="546">
        <v>14.4</v>
      </c>
      <c r="G23" s="547">
        <v>12.28</v>
      </c>
      <c r="H23" s="546">
        <f t="shared" si="2"/>
        <v>137.536</v>
      </c>
      <c r="I23" s="179"/>
      <c r="J23" s="546">
        <f t="shared" si="3"/>
        <v>137.536</v>
      </c>
      <c r="K23" s="546">
        <f t="shared" si="4"/>
        <v>0</v>
      </c>
      <c r="L23" s="548">
        <f t="shared" si="0"/>
        <v>1567.184</v>
      </c>
      <c r="M23" s="1048"/>
      <c r="N23" s="1049"/>
      <c r="O23" s="1050"/>
    </row>
    <row r="24" spans="1:15" x14ac:dyDescent="0.2">
      <c r="A24" s="543">
        <v>13</v>
      </c>
      <c r="B24" s="549">
        <v>10</v>
      </c>
      <c r="C24" s="545">
        <v>0</v>
      </c>
      <c r="D24" s="545">
        <v>1.2000000000000002</v>
      </c>
      <c r="E24" s="546">
        <f t="shared" si="1"/>
        <v>11.2</v>
      </c>
      <c r="F24" s="546">
        <v>14.4</v>
      </c>
      <c r="G24" s="547">
        <v>12.28</v>
      </c>
      <c r="H24" s="546">
        <f t="shared" si="2"/>
        <v>137.536</v>
      </c>
      <c r="I24" s="179"/>
      <c r="J24" s="546">
        <f t="shared" si="3"/>
        <v>137.536</v>
      </c>
      <c r="K24" s="546">
        <f t="shared" si="4"/>
        <v>0</v>
      </c>
      <c r="L24" s="548">
        <f t="shared" si="0"/>
        <v>1704.72</v>
      </c>
      <c r="M24" s="1048"/>
      <c r="N24" s="1049"/>
      <c r="O24" s="1050"/>
    </row>
    <row r="25" spans="1:15" x14ac:dyDescent="0.2">
      <c r="A25" s="543">
        <v>14</v>
      </c>
      <c r="B25" s="549">
        <v>10</v>
      </c>
      <c r="C25" s="545">
        <v>0</v>
      </c>
      <c r="D25" s="545">
        <v>1.2000000000000002</v>
      </c>
      <c r="E25" s="546">
        <f t="shared" si="1"/>
        <v>11.2</v>
      </c>
      <c r="F25" s="546">
        <v>14.4</v>
      </c>
      <c r="G25" s="547">
        <v>12.28</v>
      </c>
      <c r="H25" s="546">
        <f t="shared" si="2"/>
        <v>137.536</v>
      </c>
      <c r="I25" s="179"/>
      <c r="J25" s="546">
        <f t="shared" si="3"/>
        <v>137.536</v>
      </c>
      <c r="K25" s="546">
        <f t="shared" si="4"/>
        <v>0</v>
      </c>
      <c r="L25" s="548">
        <f t="shared" si="0"/>
        <v>1842.2560000000001</v>
      </c>
      <c r="M25" s="1048"/>
      <c r="N25" s="1049"/>
      <c r="O25" s="1050"/>
    </row>
    <row r="26" spans="1:15" x14ac:dyDescent="0.2">
      <c r="A26" s="543">
        <v>15</v>
      </c>
      <c r="B26" s="549">
        <v>10</v>
      </c>
      <c r="C26" s="545">
        <v>0</v>
      </c>
      <c r="D26" s="545">
        <v>0.8</v>
      </c>
      <c r="E26" s="546">
        <f t="shared" si="1"/>
        <v>10.8</v>
      </c>
      <c r="F26" s="546">
        <v>9.3000000000000007</v>
      </c>
      <c r="G26" s="547">
        <v>12.28</v>
      </c>
      <c r="H26" s="546">
        <f t="shared" si="2"/>
        <v>132.624</v>
      </c>
      <c r="I26" s="179"/>
      <c r="J26" s="546">
        <f t="shared" si="3"/>
        <v>132.624</v>
      </c>
      <c r="K26" s="546">
        <f t="shared" si="4"/>
        <v>0</v>
      </c>
      <c r="L26" s="548">
        <f t="shared" si="0"/>
        <v>1974.88</v>
      </c>
      <c r="M26" s="1048"/>
      <c r="N26" s="1049"/>
      <c r="O26" s="1050"/>
    </row>
    <row r="27" spans="1:15" x14ac:dyDescent="0.2">
      <c r="A27" s="543">
        <v>16</v>
      </c>
      <c r="B27" s="549">
        <v>10</v>
      </c>
      <c r="C27" s="545">
        <v>0</v>
      </c>
      <c r="D27" s="545">
        <v>1.2000000000000002</v>
      </c>
      <c r="E27" s="546">
        <f t="shared" si="1"/>
        <v>11.2</v>
      </c>
      <c r="F27" s="546">
        <v>14.4</v>
      </c>
      <c r="G27" s="547">
        <v>12.28</v>
      </c>
      <c r="H27" s="546">
        <f t="shared" si="2"/>
        <v>137.536</v>
      </c>
      <c r="I27" s="179"/>
      <c r="J27" s="546">
        <f t="shared" si="3"/>
        <v>137.536</v>
      </c>
      <c r="K27" s="546">
        <f t="shared" si="4"/>
        <v>0</v>
      </c>
      <c r="L27" s="548">
        <f t="shared" si="0"/>
        <v>2112.4160000000002</v>
      </c>
      <c r="M27" s="1048"/>
      <c r="N27" s="1049"/>
      <c r="O27" s="1050"/>
    </row>
    <row r="28" spans="1:15" x14ac:dyDescent="0.2">
      <c r="A28" s="543">
        <v>17</v>
      </c>
      <c r="B28" s="549">
        <v>10</v>
      </c>
      <c r="C28" s="545">
        <v>0</v>
      </c>
      <c r="D28" s="545">
        <v>0.8</v>
      </c>
      <c r="E28" s="546">
        <f t="shared" si="1"/>
        <v>10.8</v>
      </c>
      <c r="F28" s="546">
        <v>9.3000000000000007</v>
      </c>
      <c r="G28" s="547">
        <v>12.28</v>
      </c>
      <c r="H28" s="546">
        <f t="shared" si="2"/>
        <v>132.624</v>
      </c>
      <c r="I28" s="179"/>
      <c r="J28" s="546">
        <f t="shared" si="3"/>
        <v>132.624</v>
      </c>
      <c r="K28" s="546">
        <f t="shared" si="4"/>
        <v>0</v>
      </c>
      <c r="L28" s="548">
        <f t="shared" si="0"/>
        <v>2245.04</v>
      </c>
      <c r="M28" s="1048"/>
      <c r="N28" s="1049"/>
      <c r="O28" s="1050"/>
    </row>
    <row r="29" spans="1:15" x14ac:dyDescent="0.2">
      <c r="A29" s="543">
        <v>18</v>
      </c>
      <c r="B29" s="549">
        <v>11</v>
      </c>
      <c r="C29" s="545">
        <v>0</v>
      </c>
      <c r="D29" s="545">
        <v>0.8</v>
      </c>
      <c r="E29" s="546">
        <f t="shared" si="1"/>
        <v>11.8</v>
      </c>
      <c r="F29" s="546">
        <v>9.3000000000000007</v>
      </c>
      <c r="G29" s="547">
        <v>12.28</v>
      </c>
      <c r="H29" s="546">
        <f t="shared" si="2"/>
        <v>144.904</v>
      </c>
      <c r="I29" s="179"/>
      <c r="J29" s="546">
        <f t="shared" ref="J29:J42" si="5">IF(H29-I29&gt;0,H29-I29,0)</f>
        <v>144.904</v>
      </c>
      <c r="K29" s="546">
        <f t="shared" ref="K29:K42" si="6">IF(H29-I29&lt;0,H29-I29,0)</f>
        <v>0</v>
      </c>
      <c r="L29" s="548">
        <f t="shared" si="0"/>
        <v>2389.944</v>
      </c>
      <c r="M29" s="1048"/>
      <c r="N29" s="1049"/>
      <c r="O29" s="1050"/>
    </row>
    <row r="30" spans="1:15" x14ac:dyDescent="0.2">
      <c r="A30" s="543">
        <v>19</v>
      </c>
      <c r="B30" s="549">
        <v>11</v>
      </c>
      <c r="C30" s="545">
        <v>0</v>
      </c>
      <c r="D30" s="545">
        <v>0.8</v>
      </c>
      <c r="E30" s="546">
        <f t="shared" si="1"/>
        <v>11.8</v>
      </c>
      <c r="F30" s="546">
        <v>9.3000000000000007</v>
      </c>
      <c r="G30" s="547">
        <v>12.28</v>
      </c>
      <c r="H30" s="546">
        <f t="shared" si="2"/>
        <v>144.904</v>
      </c>
      <c r="I30" s="179"/>
      <c r="J30" s="546">
        <f t="shared" si="5"/>
        <v>144.904</v>
      </c>
      <c r="K30" s="546">
        <f t="shared" si="6"/>
        <v>0</v>
      </c>
      <c r="L30" s="548">
        <f t="shared" si="0"/>
        <v>2534.848</v>
      </c>
      <c r="M30" s="1048"/>
      <c r="N30" s="1049"/>
      <c r="O30" s="1050"/>
    </row>
    <row r="31" spans="1:15" x14ac:dyDescent="0.2">
      <c r="A31" s="543">
        <v>20</v>
      </c>
      <c r="B31" s="549">
        <v>11</v>
      </c>
      <c r="C31" s="545">
        <v>0</v>
      </c>
      <c r="D31" s="545">
        <v>0.8</v>
      </c>
      <c r="E31" s="546">
        <f t="shared" si="1"/>
        <v>11.8</v>
      </c>
      <c r="F31" s="546">
        <v>9.3000000000000007</v>
      </c>
      <c r="G31" s="547">
        <v>12.28</v>
      </c>
      <c r="H31" s="546">
        <f t="shared" si="2"/>
        <v>144.904</v>
      </c>
      <c r="I31" s="179"/>
      <c r="J31" s="546">
        <f t="shared" si="5"/>
        <v>144.904</v>
      </c>
      <c r="K31" s="546">
        <f t="shared" si="6"/>
        <v>0</v>
      </c>
      <c r="L31" s="548">
        <f t="shared" si="0"/>
        <v>2679.752</v>
      </c>
      <c r="M31" s="1048"/>
      <c r="N31" s="1049"/>
      <c r="O31" s="1050"/>
    </row>
    <row r="32" spans="1:15" x14ac:dyDescent="0.2">
      <c r="A32" s="543">
        <v>21</v>
      </c>
      <c r="B32" s="549">
        <v>11</v>
      </c>
      <c r="C32" s="545">
        <v>0</v>
      </c>
      <c r="D32" s="545">
        <v>0</v>
      </c>
      <c r="E32" s="546">
        <f t="shared" si="1"/>
        <v>11</v>
      </c>
      <c r="F32" s="546">
        <v>0</v>
      </c>
      <c r="G32" s="547">
        <v>12.28</v>
      </c>
      <c r="H32" s="546">
        <f t="shared" si="2"/>
        <v>135.08000000000001</v>
      </c>
      <c r="I32" s="179"/>
      <c r="J32" s="546">
        <f t="shared" si="5"/>
        <v>135.08000000000001</v>
      </c>
      <c r="K32" s="546">
        <f t="shared" si="6"/>
        <v>0</v>
      </c>
      <c r="L32" s="548">
        <f t="shared" si="0"/>
        <v>2814.8319999999999</v>
      </c>
      <c r="M32" s="1048"/>
      <c r="N32" s="1049"/>
      <c r="O32" s="1050"/>
    </row>
    <row r="33" spans="1:15" x14ac:dyDescent="0.2">
      <c r="A33" s="543">
        <v>22</v>
      </c>
      <c r="B33" s="549">
        <v>11</v>
      </c>
      <c r="C33" s="545">
        <v>0</v>
      </c>
      <c r="D33" s="545">
        <v>0</v>
      </c>
      <c r="E33" s="546">
        <f t="shared" si="1"/>
        <v>11</v>
      </c>
      <c r="F33" s="546">
        <v>0</v>
      </c>
      <c r="G33" s="547">
        <v>12.28</v>
      </c>
      <c r="H33" s="546">
        <f t="shared" si="2"/>
        <v>135.08000000000001</v>
      </c>
      <c r="I33" s="179"/>
      <c r="J33" s="546">
        <f t="shared" si="5"/>
        <v>135.08000000000001</v>
      </c>
      <c r="K33" s="546">
        <f t="shared" si="6"/>
        <v>0</v>
      </c>
      <c r="L33" s="548">
        <f t="shared" si="0"/>
        <v>2949.9119999999998</v>
      </c>
      <c r="M33" s="1048"/>
      <c r="N33" s="1049"/>
      <c r="O33" s="1050"/>
    </row>
    <row r="34" spans="1:15" x14ac:dyDescent="0.2">
      <c r="A34" s="543">
        <v>23</v>
      </c>
      <c r="B34" s="549">
        <v>11</v>
      </c>
      <c r="C34" s="545">
        <v>0</v>
      </c>
      <c r="D34" s="545">
        <v>0</v>
      </c>
      <c r="E34" s="546">
        <f t="shared" si="1"/>
        <v>11</v>
      </c>
      <c r="F34" s="546">
        <v>0</v>
      </c>
      <c r="G34" s="547">
        <v>12.28</v>
      </c>
      <c r="H34" s="546">
        <f t="shared" si="2"/>
        <v>135.08000000000001</v>
      </c>
      <c r="I34" s="179"/>
      <c r="J34" s="546">
        <f t="shared" si="5"/>
        <v>135.08000000000001</v>
      </c>
      <c r="K34" s="546">
        <f t="shared" si="6"/>
        <v>0</v>
      </c>
      <c r="L34" s="548">
        <f t="shared" si="0"/>
        <v>3084.9919999999997</v>
      </c>
      <c r="M34" s="1048"/>
      <c r="N34" s="1049"/>
      <c r="O34" s="1050"/>
    </row>
    <row r="35" spans="1:15" x14ac:dyDescent="0.2">
      <c r="A35" s="543">
        <v>24</v>
      </c>
      <c r="B35" s="549">
        <v>12</v>
      </c>
      <c r="C35" s="545">
        <v>0</v>
      </c>
      <c r="D35" s="545">
        <v>0.8</v>
      </c>
      <c r="E35" s="546">
        <f t="shared" si="1"/>
        <v>12.8</v>
      </c>
      <c r="F35" s="546">
        <v>9.3000000000000007</v>
      </c>
      <c r="G35" s="547">
        <v>12.28</v>
      </c>
      <c r="H35" s="546">
        <f t="shared" si="2"/>
        <v>157.184</v>
      </c>
      <c r="I35" s="179"/>
      <c r="J35" s="546">
        <f t="shared" si="5"/>
        <v>157.184</v>
      </c>
      <c r="K35" s="546">
        <f t="shared" si="6"/>
        <v>0</v>
      </c>
      <c r="L35" s="548">
        <f t="shared" si="0"/>
        <v>3242.1759999999999</v>
      </c>
      <c r="M35" s="1048"/>
      <c r="N35" s="1049"/>
      <c r="O35" s="1050"/>
    </row>
    <row r="36" spans="1:15" x14ac:dyDescent="0.2">
      <c r="A36" s="543">
        <v>25</v>
      </c>
      <c r="B36" s="549">
        <v>12</v>
      </c>
      <c r="C36" s="545">
        <v>0</v>
      </c>
      <c r="D36" s="545">
        <v>0.8</v>
      </c>
      <c r="E36" s="546">
        <f t="shared" si="1"/>
        <v>12.8</v>
      </c>
      <c r="F36" s="546">
        <v>9.3000000000000007</v>
      </c>
      <c r="G36" s="547">
        <v>12.28</v>
      </c>
      <c r="H36" s="546">
        <f t="shared" si="2"/>
        <v>157.184</v>
      </c>
      <c r="I36" s="179"/>
      <c r="J36" s="546">
        <f t="shared" si="5"/>
        <v>157.184</v>
      </c>
      <c r="K36" s="546">
        <f t="shared" si="6"/>
        <v>0</v>
      </c>
      <c r="L36" s="548">
        <f t="shared" si="0"/>
        <v>3399.36</v>
      </c>
      <c r="M36" s="1048"/>
      <c r="N36" s="1049"/>
      <c r="O36" s="1050"/>
    </row>
    <row r="37" spans="1:15" x14ac:dyDescent="0.2">
      <c r="A37" s="543">
        <v>26</v>
      </c>
      <c r="B37" s="549">
        <v>12</v>
      </c>
      <c r="C37" s="545">
        <v>0</v>
      </c>
      <c r="D37" s="545">
        <v>0.8</v>
      </c>
      <c r="E37" s="546">
        <f t="shared" si="1"/>
        <v>12.8</v>
      </c>
      <c r="F37" s="546">
        <v>9.3000000000000007</v>
      </c>
      <c r="G37" s="547">
        <v>12.28</v>
      </c>
      <c r="H37" s="546">
        <f t="shared" si="2"/>
        <v>157.184</v>
      </c>
      <c r="I37" s="179"/>
      <c r="J37" s="546">
        <f t="shared" si="5"/>
        <v>157.184</v>
      </c>
      <c r="K37" s="546">
        <f t="shared" si="6"/>
        <v>0</v>
      </c>
      <c r="L37" s="548">
        <f t="shared" si="0"/>
        <v>3556.5440000000003</v>
      </c>
      <c r="M37" s="1048"/>
      <c r="N37" s="1049"/>
      <c r="O37" s="1050"/>
    </row>
    <row r="38" spans="1:15" x14ac:dyDescent="0.2">
      <c r="A38" s="543">
        <v>27</v>
      </c>
      <c r="B38" s="549">
        <v>12</v>
      </c>
      <c r="C38" s="545">
        <v>0</v>
      </c>
      <c r="D38" s="545">
        <v>0.8</v>
      </c>
      <c r="E38" s="546">
        <f t="shared" si="1"/>
        <v>12.8</v>
      </c>
      <c r="F38" s="546">
        <v>9.3000000000000007</v>
      </c>
      <c r="G38" s="547">
        <v>12.28</v>
      </c>
      <c r="H38" s="546">
        <f t="shared" si="2"/>
        <v>157.184</v>
      </c>
      <c r="I38" s="179"/>
      <c r="J38" s="546">
        <f t="shared" si="5"/>
        <v>157.184</v>
      </c>
      <c r="K38" s="546">
        <f t="shared" si="6"/>
        <v>0</v>
      </c>
      <c r="L38" s="548">
        <f t="shared" si="0"/>
        <v>3713.7280000000005</v>
      </c>
      <c r="M38" s="1048"/>
      <c r="N38" s="1049"/>
      <c r="O38" s="1050"/>
    </row>
    <row r="39" spans="1:15" x14ac:dyDescent="0.2">
      <c r="A39" s="543">
        <v>28</v>
      </c>
      <c r="B39" s="549">
        <v>12</v>
      </c>
      <c r="C39" s="545">
        <v>0</v>
      </c>
      <c r="D39" s="545">
        <v>0</v>
      </c>
      <c r="E39" s="546">
        <f t="shared" si="1"/>
        <v>12</v>
      </c>
      <c r="F39" s="546">
        <v>0</v>
      </c>
      <c r="G39" s="547">
        <v>12.28</v>
      </c>
      <c r="H39" s="546">
        <f t="shared" si="2"/>
        <v>147.36000000000001</v>
      </c>
      <c r="I39" s="179"/>
      <c r="J39" s="546">
        <f t="shared" si="5"/>
        <v>147.36000000000001</v>
      </c>
      <c r="K39" s="546">
        <f t="shared" si="6"/>
        <v>0</v>
      </c>
      <c r="L39" s="548">
        <f t="shared" si="0"/>
        <v>3861.0880000000006</v>
      </c>
      <c r="M39" s="1048"/>
      <c r="N39" s="1049"/>
      <c r="O39" s="1050"/>
    </row>
    <row r="40" spans="1:15" x14ac:dyDescent="0.2">
      <c r="A40" s="543">
        <v>29</v>
      </c>
      <c r="B40" s="549">
        <v>12</v>
      </c>
      <c r="C40" s="545">
        <v>0</v>
      </c>
      <c r="D40" s="545">
        <v>0</v>
      </c>
      <c r="E40" s="546">
        <f t="shared" si="1"/>
        <v>12</v>
      </c>
      <c r="F40" s="546">
        <v>0</v>
      </c>
      <c r="G40" s="547">
        <v>12.28</v>
      </c>
      <c r="H40" s="546">
        <f t="shared" si="2"/>
        <v>147.36000000000001</v>
      </c>
      <c r="I40" s="179"/>
      <c r="J40" s="546">
        <f t="shared" si="5"/>
        <v>147.36000000000001</v>
      </c>
      <c r="K40" s="546">
        <f t="shared" si="6"/>
        <v>0</v>
      </c>
      <c r="L40" s="548">
        <f t="shared" si="0"/>
        <v>4008.4480000000008</v>
      </c>
      <c r="M40" s="1048"/>
      <c r="N40" s="1049"/>
      <c r="O40" s="1050"/>
    </row>
    <row r="41" spans="1:15" x14ac:dyDescent="0.2">
      <c r="A41" s="543">
        <v>30</v>
      </c>
      <c r="B41" s="549">
        <v>12</v>
      </c>
      <c r="C41" s="545">
        <v>0</v>
      </c>
      <c r="D41" s="545">
        <v>0</v>
      </c>
      <c r="E41" s="546">
        <f t="shared" si="1"/>
        <v>12</v>
      </c>
      <c r="F41" s="546">
        <v>0</v>
      </c>
      <c r="G41" s="547">
        <v>12.28</v>
      </c>
      <c r="H41" s="546">
        <f t="shared" si="2"/>
        <v>147.36000000000001</v>
      </c>
      <c r="I41" s="179"/>
      <c r="J41" s="546">
        <f t="shared" si="5"/>
        <v>147.36000000000001</v>
      </c>
      <c r="K41" s="546">
        <f t="shared" si="6"/>
        <v>0</v>
      </c>
      <c r="L41" s="548">
        <f t="shared" si="0"/>
        <v>4155.8080000000009</v>
      </c>
      <c r="M41" s="1048"/>
      <c r="N41" s="1049"/>
      <c r="O41" s="1050"/>
    </row>
    <row r="42" spans="1:15" ht="13.5" thickBot="1" x14ac:dyDescent="0.25">
      <c r="A42" s="550">
        <v>31</v>
      </c>
      <c r="B42" s="551">
        <v>12</v>
      </c>
      <c r="C42" s="552">
        <v>0</v>
      </c>
      <c r="D42" s="552">
        <v>0</v>
      </c>
      <c r="E42" s="553">
        <f t="shared" si="1"/>
        <v>12</v>
      </c>
      <c r="F42" s="554">
        <v>0</v>
      </c>
      <c r="G42" s="555">
        <v>12.28</v>
      </c>
      <c r="H42" s="546">
        <f t="shared" si="2"/>
        <v>147.36000000000001</v>
      </c>
      <c r="I42" s="180"/>
      <c r="J42" s="554">
        <f t="shared" si="5"/>
        <v>147.36000000000001</v>
      </c>
      <c r="K42" s="554">
        <f t="shared" si="6"/>
        <v>0</v>
      </c>
      <c r="L42" s="556">
        <f t="shared" si="0"/>
        <v>4303.1680000000006</v>
      </c>
      <c r="M42" s="1051"/>
      <c r="N42" s="1052"/>
      <c r="O42" s="1053"/>
    </row>
    <row r="43" spans="1:15" ht="27.75" thickBot="1" x14ac:dyDescent="0.25">
      <c r="A43" s="557" t="s">
        <v>43</v>
      </c>
      <c r="B43" s="558">
        <f>SUM(B12:B42)</f>
        <v>343</v>
      </c>
      <c r="C43" s="558">
        <f>SUM(C12:C42)</f>
        <v>0</v>
      </c>
      <c r="D43" s="558">
        <f t="shared" ref="D43:E43" si="7">SUM(D12:D42)</f>
        <v>17.600000000000009</v>
      </c>
      <c r="E43" s="558">
        <f t="shared" si="7"/>
        <v>360.60000000000008</v>
      </c>
      <c r="F43" s="558">
        <f>ROUND(SUM(F12:F42),2)</f>
        <v>208.2</v>
      </c>
      <c r="G43" s="559"/>
      <c r="H43" s="558">
        <f>ROUND(SUM(H12:H42),2)</f>
        <v>4428.17</v>
      </c>
      <c r="I43" s="558">
        <f>ROUND(SUM(I12:I42),2)</f>
        <v>0</v>
      </c>
      <c r="J43" s="559"/>
      <c r="K43" s="560"/>
      <c r="L43" s="561">
        <f>ROUND(L11+H43-I43,2)</f>
        <v>4303.17</v>
      </c>
      <c r="M43" s="1054"/>
      <c r="N43" s="1055"/>
      <c r="O43" s="1056"/>
    </row>
  </sheetData>
  <sheetProtection algorithmName="SHA-512" hashValue="aIvmW+koz2UAYSSHriTo1O8BSoSkmC6pRYnplw4wiqvF74asPY5WuanFOXbjRUGlDpbZap4ea862QD9BCULO3w==" saltValue="NI1ghv/BLElC2OoQhM3I2Q=="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21" sqref="B21:G21"/>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966"/>
      <c r="AA2" s="863"/>
      <c r="AB2" s="566"/>
      <c r="AE2" s="567" t="s">
        <v>73</v>
      </c>
      <c r="AF2" s="567"/>
      <c r="AG2" s="567"/>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c r="BU2" s="977" t="s">
        <v>237</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c r="BU4" s="1063" t="s">
        <v>554</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Atlantic</v>
      </c>
      <c r="B6" s="1098"/>
      <c r="C6" s="1098"/>
      <c r="D6" s="1098"/>
      <c r="E6" s="1098"/>
      <c r="F6" s="1099"/>
      <c r="G6" s="1094">
        <v>43952</v>
      </c>
      <c r="H6" s="1082"/>
      <c r="I6" s="1082"/>
      <c r="J6" s="1083"/>
      <c r="K6" s="569"/>
      <c r="L6" s="578"/>
      <c r="M6" s="1097" t="str">
        <f>A6</f>
        <v>USCGC Atlantic</v>
      </c>
      <c r="N6" s="1098"/>
      <c r="O6" s="1098"/>
      <c r="P6" s="1098"/>
      <c r="Q6" s="1098"/>
      <c r="R6" s="1099"/>
      <c r="S6" s="1094"/>
      <c r="T6" s="1082"/>
      <c r="U6" s="1082"/>
      <c r="V6" s="1083"/>
      <c r="W6" s="569"/>
      <c r="X6" s="578"/>
      <c r="Y6" s="1102" t="str">
        <f>A6</f>
        <v>USCGC Atlantic</v>
      </c>
      <c r="Z6" s="1098"/>
      <c r="AA6" s="1098"/>
      <c r="AB6" s="1098"/>
      <c r="AC6" s="1098"/>
      <c r="AD6" s="1099"/>
      <c r="AE6" s="1094"/>
      <c r="AF6" s="1082"/>
      <c r="AG6" s="1082"/>
      <c r="AH6" s="1083"/>
      <c r="AI6" s="569"/>
      <c r="AJ6" s="578"/>
      <c r="AK6" s="1097" t="str">
        <f>A6</f>
        <v>USCGC Atlantic</v>
      </c>
      <c r="AL6" s="1098"/>
      <c r="AM6" s="1098"/>
      <c r="AN6" s="1098"/>
      <c r="AO6" s="1098"/>
      <c r="AP6" s="1099"/>
      <c r="AQ6" s="1094">
        <v>41609</v>
      </c>
      <c r="AR6" s="1082"/>
      <c r="AS6" s="1082"/>
      <c r="AT6" s="1083"/>
      <c r="AU6" s="569"/>
      <c r="AV6" s="578"/>
      <c r="AW6" s="1097" t="str">
        <f>A6</f>
        <v>USCGC Atlantic</v>
      </c>
      <c r="AX6" s="1098"/>
      <c r="AY6" s="1098"/>
      <c r="AZ6" s="1098"/>
      <c r="BA6" s="1098"/>
      <c r="BB6" s="1099"/>
      <c r="BC6" s="1094">
        <v>41609</v>
      </c>
      <c r="BD6" s="1082"/>
      <c r="BE6" s="1082"/>
      <c r="BF6" s="1083"/>
      <c r="BG6" s="569"/>
      <c r="BH6" s="578"/>
      <c r="BI6" s="1097" t="str">
        <f>A6</f>
        <v>USCGC Atlantic</v>
      </c>
      <c r="BJ6" s="1098"/>
      <c r="BK6" s="1098"/>
      <c r="BL6" s="1098"/>
      <c r="BM6" s="1098"/>
      <c r="BN6" s="1099"/>
      <c r="BO6" s="1094">
        <v>41609</v>
      </c>
      <c r="BP6" s="1082"/>
      <c r="BQ6" s="1082"/>
      <c r="BR6" s="1083"/>
      <c r="BS6" s="569"/>
      <c r="BT6" s="578"/>
      <c r="BU6" s="1097" t="str">
        <f>A6</f>
        <v>USCGC Atlantic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290</v>
      </c>
      <c r="B10" s="1089"/>
      <c r="C10" s="1089"/>
      <c r="D10" s="1089"/>
      <c r="E10" s="1089"/>
      <c r="F10" s="1090"/>
      <c r="G10" s="1088"/>
      <c r="H10" s="1089"/>
      <c r="I10" s="1089"/>
      <c r="J10" s="1090"/>
      <c r="K10" s="573"/>
      <c r="L10" s="574"/>
      <c r="M10" s="1088" t="s">
        <v>290</v>
      </c>
      <c r="N10" s="1089"/>
      <c r="O10" s="1089"/>
      <c r="P10" s="1089"/>
      <c r="Q10" s="1089"/>
      <c r="R10" s="1090"/>
      <c r="S10" s="1088"/>
      <c r="T10" s="1089"/>
      <c r="U10" s="1089"/>
      <c r="V10" s="1090"/>
      <c r="W10" s="573"/>
      <c r="X10" s="574"/>
      <c r="Y10" s="1101" t="s">
        <v>290</v>
      </c>
      <c r="Z10" s="1089"/>
      <c r="AA10" s="1089"/>
      <c r="AB10" s="1089"/>
      <c r="AC10" s="1089"/>
      <c r="AD10" s="1090"/>
      <c r="AE10" s="1088"/>
      <c r="AF10" s="1089"/>
      <c r="AG10" s="1089"/>
      <c r="AH10" s="1090"/>
      <c r="AI10" s="573"/>
      <c r="AJ10" s="574"/>
      <c r="AK10" s="1088" t="s">
        <v>290</v>
      </c>
      <c r="AL10" s="1089"/>
      <c r="AM10" s="1089"/>
      <c r="AN10" s="1089"/>
      <c r="AO10" s="1089"/>
      <c r="AP10" s="1090"/>
      <c r="AQ10" s="1088"/>
      <c r="AR10" s="1089"/>
      <c r="AS10" s="1089"/>
      <c r="AT10" s="1090"/>
      <c r="AU10" s="573"/>
      <c r="AV10" s="574"/>
      <c r="AW10" s="1088" t="s">
        <v>290</v>
      </c>
      <c r="AX10" s="1089"/>
      <c r="AY10" s="1089"/>
      <c r="AZ10" s="1089"/>
      <c r="BA10" s="1089"/>
      <c r="BB10" s="1090"/>
      <c r="BC10" s="1088"/>
      <c r="BD10" s="1089"/>
      <c r="BE10" s="1089"/>
      <c r="BF10" s="1090"/>
      <c r="BG10" s="573"/>
      <c r="BH10" s="574"/>
      <c r="BI10" s="1088" t="s">
        <v>290</v>
      </c>
      <c r="BJ10" s="1089"/>
      <c r="BK10" s="1089"/>
      <c r="BL10" s="1089"/>
      <c r="BM10" s="1089"/>
      <c r="BN10" s="1090"/>
      <c r="BO10" s="1088"/>
      <c r="BP10" s="1089"/>
      <c r="BQ10" s="1089"/>
      <c r="BR10" s="1090"/>
      <c r="BS10" s="573"/>
      <c r="BT10" s="574"/>
      <c r="BU10" s="1088" t="s">
        <v>290</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43952</v>
      </c>
      <c r="H36" s="569"/>
      <c r="I36" s="9"/>
      <c r="J36" s="569"/>
      <c r="K36" s="753" t="s">
        <v>90</v>
      </c>
      <c r="L36" s="568"/>
      <c r="M36" s="576"/>
      <c r="N36" s="568"/>
      <c r="O36" s="595"/>
      <c r="P36" s="596"/>
      <c r="Q36" s="595"/>
      <c r="R36" s="757" t="s">
        <v>240</v>
      </c>
      <c r="S36" s="608">
        <f>S6</f>
        <v>0</v>
      </c>
      <c r="T36" s="569"/>
      <c r="U36" s="9"/>
      <c r="V36" s="569"/>
      <c r="W36" s="753" t="s">
        <v>90</v>
      </c>
      <c r="X36" s="568"/>
      <c r="Y36" s="576"/>
      <c r="Z36" s="568"/>
      <c r="AA36" s="595"/>
      <c r="AB36" s="596"/>
      <c r="AC36" s="595"/>
      <c r="AD36" s="600" t="s">
        <v>240</v>
      </c>
      <c r="AE36" s="608">
        <f>AE6</f>
        <v>0</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43969</v>
      </c>
      <c r="J39" s="569"/>
      <c r="M39" s="606" t="s">
        <v>93</v>
      </c>
      <c r="R39" s="569"/>
      <c r="S39" s="569" t="s">
        <v>94</v>
      </c>
      <c r="T39" s="569"/>
      <c r="U39" s="607">
        <f ca="1">TODAY()</f>
        <v>43969</v>
      </c>
      <c r="V39" s="569"/>
      <c r="Y39" s="606" t="s">
        <v>93</v>
      </c>
      <c r="AD39" s="569"/>
      <c r="AE39" s="569" t="s">
        <v>94</v>
      </c>
      <c r="AF39" s="569"/>
      <c r="AG39" s="607">
        <f ca="1">TODAY()</f>
        <v>43969</v>
      </c>
      <c r="AH39" s="569"/>
      <c r="AK39" s="606" t="s">
        <v>93</v>
      </c>
      <c r="AP39" s="569"/>
      <c r="AQ39" s="569" t="s">
        <v>94</v>
      </c>
      <c r="AR39" s="569"/>
      <c r="AS39" s="607">
        <f ca="1">TODAY()</f>
        <v>43969</v>
      </c>
      <c r="AT39" s="569"/>
      <c r="AW39" s="606" t="s">
        <v>93</v>
      </c>
      <c r="BB39" s="569"/>
      <c r="BC39" s="569" t="s">
        <v>94</v>
      </c>
      <c r="BD39" s="569"/>
      <c r="BE39" s="607">
        <f ca="1">TODAY()</f>
        <v>43969</v>
      </c>
      <c r="BF39" s="569"/>
      <c r="BI39" s="606" t="s">
        <v>93</v>
      </c>
      <c r="BN39" s="569"/>
      <c r="BO39" s="569" t="s">
        <v>94</v>
      </c>
      <c r="BP39" s="569"/>
      <c r="BQ39" s="607">
        <f ca="1">TODAY()</f>
        <v>43969</v>
      </c>
      <c r="BR39" s="569"/>
      <c r="BU39" s="606" t="s">
        <v>93</v>
      </c>
      <c r="BZ39" s="569"/>
      <c r="CA39" s="569" t="s">
        <v>94</v>
      </c>
      <c r="CB39" s="569"/>
      <c r="CC39" s="607">
        <f ca="1">TODAY()</f>
        <v>43969</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c r="BU41" s="977" t="s">
        <v>237</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c r="BU43" s="1063" t="s">
        <v>554</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Atlantic</v>
      </c>
      <c r="B45" s="1082"/>
      <c r="C45" s="1082"/>
      <c r="D45" s="1082"/>
      <c r="E45" s="1082"/>
      <c r="F45" s="1083"/>
      <c r="G45" s="1084">
        <f>G6</f>
        <v>43952</v>
      </c>
      <c r="H45" s="1082"/>
      <c r="I45" s="1082"/>
      <c r="J45" s="1083"/>
      <c r="K45" s="569"/>
      <c r="L45" s="578"/>
      <c r="M45" s="1081" t="str">
        <f>M6</f>
        <v>USCGC Atlantic</v>
      </c>
      <c r="N45" s="1082"/>
      <c r="O45" s="1082"/>
      <c r="P45" s="1082"/>
      <c r="Q45" s="1082"/>
      <c r="R45" s="1083"/>
      <c r="S45" s="1084">
        <f>S6</f>
        <v>0</v>
      </c>
      <c r="T45" s="1082"/>
      <c r="U45" s="1082"/>
      <c r="V45" s="1083"/>
      <c r="W45" s="569"/>
      <c r="X45" s="578"/>
      <c r="Y45" s="1081" t="str">
        <f>Y6</f>
        <v>USCGC Atlantic</v>
      </c>
      <c r="Z45" s="1082"/>
      <c r="AA45" s="1082"/>
      <c r="AB45" s="1082"/>
      <c r="AC45" s="1082"/>
      <c r="AD45" s="1083"/>
      <c r="AE45" s="1084">
        <f>AE6</f>
        <v>0</v>
      </c>
      <c r="AF45" s="1082"/>
      <c r="AG45" s="1082"/>
      <c r="AH45" s="1083"/>
      <c r="AI45" s="569"/>
      <c r="AJ45" s="578"/>
      <c r="AK45" s="1081" t="str">
        <f>AK6</f>
        <v>USCGC Atlantic</v>
      </c>
      <c r="AL45" s="1082"/>
      <c r="AM45" s="1082"/>
      <c r="AN45" s="1082"/>
      <c r="AO45" s="1082"/>
      <c r="AP45" s="1083"/>
      <c r="AQ45" s="1084">
        <f>AQ6</f>
        <v>41609</v>
      </c>
      <c r="AR45" s="1082"/>
      <c r="AS45" s="1082"/>
      <c r="AT45" s="1083"/>
      <c r="AU45" s="569"/>
      <c r="AV45" s="578"/>
      <c r="AW45" s="1081" t="str">
        <f>AW6</f>
        <v>USCGC Atlantic</v>
      </c>
      <c r="AX45" s="1082"/>
      <c r="AY45" s="1082"/>
      <c r="AZ45" s="1082"/>
      <c r="BA45" s="1082"/>
      <c r="BB45" s="1083"/>
      <c r="BC45" s="1084">
        <f>BC6</f>
        <v>41609</v>
      </c>
      <c r="BD45" s="1082"/>
      <c r="BE45" s="1082"/>
      <c r="BF45" s="1083"/>
      <c r="BG45" s="569"/>
      <c r="BH45" s="578"/>
      <c r="BI45" s="1081" t="str">
        <f>BI6</f>
        <v>USCGC Atlantic</v>
      </c>
      <c r="BJ45" s="1082"/>
      <c r="BK45" s="1082"/>
      <c r="BL45" s="1082"/>
      <c r="BM45" s="1082"/>
      <c r="BN45" s="1083"/>
      <c r="BO45" s="1084">
        <f>BO6</f>
        <v>41609</v>
      </c>
      <c r="BP45" s="1082"/>
      <c r="BQ45" s="1082"/>
      <c r="BR45" s="1083"/>
      <c r="BS45" s="569"/>
      <c r="BT45" s="578"/>
      <c r="BU45" s="1081" t="str">
        <f>BU6</f>
        <v>USCGC Atlantic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43952</v>
      </c>
      <c r="H75" s="10"/>
      <c r="I75" s="11"/>
      <c r="J75" s="569"/>
      <c r="K75" s="753" t="s">
        <v>90</v>
      </c>
      <c r="L75" s="568"/>
      <c r="M75" s="576"/>
      <c r="N75" s="568"/>
      <c r="O75" s="595"/>
      <c r="P75" s="596"/>
      <c r="Q75" s="595"/>
      <c r="R75" s="758" t="s">
        <v>240</v>
      </c>
      <c r="S75" s="608">
        <f>S36</f>
        <v>0</v>
      </c>
      <c r="T75" s="10"/>
      <c r="U75" s="11"/>
      <c r="V75" s="569"/>
      <c r="W75" s="753" t="s">
        <v>90</v>
      </c>
      <c r="X75" s="568"/>
      <c r="Y75" s="576"/>
      <c r="Z75" s="568"/>
      <c r="AA75" s="595"/>
      <c r="AB75" s="596"/>
      <c r="AC75" s="595"/>
      <c r="AD75" s="758" t="s">
        <v>240</v>
      </c>
      <c r="AE75" s="608">
        <f>AE36</f>
        <v>0</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43969</v>
      </c>
      <c r="J78" s="569"/>
      <c r="M78" s="606" t="s">
        <v>93</v>
      </c>
      <c r="R78" s="569"/>
      <c r="S78" s="569" t="s">
        <v>94</v>
      </c>
      <c r="T78" s="569"/>
      <c r="U78" s="607">
        <f ca="1">TODAY()</f>
        <v>43969</v>
      </c>
      <c r="V78" s="569"/>
      <c r="Y78" s="606" t="s">
        <v>93</v>
      </c>
      <c r="AD78" s="569"/>
      <c r="AE78" s="569" t="s">
        <v>94</v>
      </c>
      <c r="AF78" s="569"/>
      <c r="AG78" s="607">
        <f ca="1">TODAY()</f>
        <v>43969</v>
      </c>
      <c r="AH78" s="569"/>
      <c r="AK78" s="606" t="s">
        <v>93</v>
      </c>
      <c r="AP78" s="569"/>
      <c r="AQ78" s="569" t="s">
        <v>94</v>
      </c>
      <c r="AR78" s="569"/>
      <c r="AS78" s="607">
        <f ca="1">TODAY()</f>
        <v>43969</v>
      </c>
      <c r="AT78" s="569"/>
      <c r="AW78" s="606" t="s">
        <v>93</v>
      </c>
      <c r="BB78" s="569"/>
      <c r="BC78" s="569" t="s">
        <v>94</v>
      </c>
      <c r="BD78" s="569"/>
      <c r="BE78" s="607">
        <f ca="1">TODAY()</f>
        <v>43969</v>
      </c>
      <c r="BF78" s="569"/>
      <c r="BI78" s="606" t="s">
        <v>93</v>
      </c>
      <c r="BN78" s="569"/>
      <c r="BO78" s="569" t="s">
        <v>94</v>
      </c>
      <c r="BP78" s="569"/>
      <c r="BQ78" s="607">
        <f ca="1">TODAY()</f>
        <v>43969</v>
      </c>
      <c r="BR78" s="569"/>
      <c r="BU78" s="606" t="s">
        <v>93</v>
      </c>
      <c r="BZ78" s="569"/>
      <c r="CA78" s="569" t="s">
        <v>94</v>
      </c>
      <c r="CB78" s="569"/>
      <c r="CC78" s="607">
        <f ca="1">TODAY()</f>
        <v>43969</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c r="BU80" s="977" t="s">
        <v>237</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c r="BU82" s="1063" t="s">
        <v>554</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Atlantic</v>
      </c>
      <c r="B84" s="1082"/>
      <c r="C84" s="1082"/>
      <c r="D84" s="1082"/>
      <c r="E84" s="1082"/>
      <c r="F84" s="1083"/>
      <c r="G84" s="1084">
        <f>G45</f>
        <v>43952</v>
      </c>
      <c r="H84" s="1082"/>
      <c r="I84" s="1082"/>
      <c r="J84" s="1083"/>
      <c r="K84" s="569"/>
      <c r="L84" s="578"/>
      <c r="M84" s="1081" t="str">
        <f>M45</f>
        <v>USCGC Atlantic</v>
      </c>
      <c r="N84" s="1082"/>
      <c r="O84" s="1082"/>
      <c r="P84" s="1082"/>
      <c r="Q84" s="1082"/>
      <c r="R84" s="1083"/>
      <c r="S84" s="1084">
        <f>S45</f>
        <v>0</v>
      </c>
      <c r="T84" s="1082"/>
      <c r="U84" s="1082"/>
      <c r="V84" s="1083"/>
      <c r="W84" s="569"/>
      <c r="X84" s="578"/>
      <c r="Y84" s="1081" t="str">
        <f>Y45</f>
        <v>USCGC Atlantic</v>
      </c>
      <c r="Z84" s="1082"/>
      <c r="AA84" s="1082"/>
      <c r="AB84" s="1082"/>
      <c r="AC84" s="1082"/>
      <c r="AD84" s="1083"/>
      <c r="AE84" s="1084">
        <f>AE45</f>
        <v>0</v>
      </c>
      <c r="AF84" s="1082"/>
      <c r="AG84" s="1082"/>
      <c r="AH84" s="1083"/>
      <c r="AI84" s="569"/>
      <c r="AJ84" s="578"/>
      <c r="AK84" s="1081" t="str">
        <f>AK45</f>
        <v>USCGC Atlantic</v>
      </c>
      <c r="AL84" s="1082"/>
      <c r="AM84" s="1082"/>
      <c r="AN84" s="1082"/>
      <c r="AO84" s="1082"/>
      <c r="AP84" s="1083"/>
      <c r="AQ84" s="1084">
        <f>AQ45</f>
        <v>41609</v>
      </c>
      <c r="AR84" s="1082"/>
      <c r="AS84" s="1082"/>
      <c r="AT84" s="1083"/>
      <c r="AU84" s="569"/>
      <c r="AV84" s="578"/>
      <c r="AW84" s="1081" t="str">
        <f>AW45</f>
        <v>USCGC Atlantic</v>
      </c>
      <c r="AX84" s="1082"/>
      <c r="AY84" s="1082"/>
      <c r="AZ84" s="1082"/>
      <c r="BA84" s="1082"/>
      <c r="BB84" s="1083"/>
      <c r="BC84" s="1084">
        <f>BC45</f>
        <v>41609</v>
      </c>
      <c r="BD84" s="1082"/>
      <c r="BE84" s="1082"/>
      <c r="BF84" s="1083"/>
      <c r="BG84" s="569"/>
      <c r="BH84" s="578"/>
      <c r="BI84" s="1081" t="str">
        <f>BI45</f>
        <v>USCGC Atlantic</v>
      </c>
      <c r="BJ84" s="1082"/>
      <c r="BK84" s="1082"/>
      <c r="BL84" s="1082"/>
      <c r="BM84" s="1082"/>
      <c r="BN84" s="1083"/>
      <c r="BO84" s="1084">
        <f>BO45</f>
        <v>41609</v>
      </c>
      <c r="BP84" s="1082"/>
      <c r="BQ84" s="1082"/>
      <c r="BR84" s="1083"/>
      <c r="BS84" s="569"/>
      <c r="BT84" s="578"/>
      <c r="BU84" s="1081" t="str">
        <f>BU45</f>
        <v>USCGC Atlantic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43952</v>
      </c>
      <c r="H114" s="10"/>
      <c r="I114" s="12"/>
      <c r="J114" s="569"/>
      <c r="K114" s="753" t="s">
        <v>90</v>
      </c>
      <c r="L114" s="568"/>
      <c r="M114" s="576"/>
      <c r="N114" s="568"/>
      <c r="O114" s="595"/>
      <c r="P114" s="596"/>
      <c r="Q114" s="595"/>
      <c r="R114" s="758" t="s">
        <v>240</v>
      </c>
      <c r="S114" s="608">
        <f>S75</f>
        <v>0</v>
      </c>
      <c r="T114" s="10"/>
      <c r="U114" s="12"/>
      <c r="V114" s="569"/>
      <c r="W114" s="753" t="s">
        <v>90</v>
      </c>
      <c r="X114" s="568"/>
      <c r="Y114" s="576"/>
      <c r="Z114" s="568"/>
      <c r="AA114" s="595"/>
      <c r="AB114" s="596"/>
      <c r="AC114" s="595"/>
      <c r="AD114" s="758" t="s">
        <v>240</v>
      </c>
      <c r="AE114" s="608">
        <f>AE75</f>
        <v>0</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43969</v>
      </c>
      <c r="J117" s="569"/>
      <c r="M117" s="606" t="s">
        <v>93</v>
      </c>
      <c r="R117" s="569"/>
      <c r="S117" s="569" t="s">
        <v>94</v>
      </c>
      <c r="T117" s="569"/>
      <c r="U117" s="607">
        <f ca="1">TODAY()</f>
        <v>43969</v>
      </c>
      <c r="V117" s="569"/>
      <c r="Y117" s="606" t="s">
        <v>93</v>
      </c>
      <c r="AD117" s="569"/>
      <c r="AE117" s="569" t="s">
        <v>94</v>
      </c>
      <c r="AF117" s="569"/>
      <c r="AG117" s="607">
        <f ca="1">TODAY()</f>
        <v>43969</v>
      </c>
      <c r="AH117" s="569"/>
      <c r="AK117" s="606" t="s">
        <v>93</v>
      </c>
      <c r="AP117" s="569"/>
      <c r="AQ117" s="569" t="s">
        <v>94</v>
      </c>
      <c r="AR117" s="569"/>
      <c r="AS117" s="607">
        <f ca="1">TODAY()</f>
        <v>43969</v>
      </c>
      <c r="AT117" s="569"/>
      <c r="AW117" s="606" t="s">
        <v>93</v>
      </c>
      <c r="BB117" s="569"/>
      <c r="BC117" s="569" t="s">
        <v>94</v>
      </c>
      <c r="BD117" s="569"/>
      <c r="BE117" s="607">
        <f ca="1">TODAY()</f>
        <v>43969</v>
      </c>
      <c r="BF117" s="569"/>
      <c r="BI117" s="606" t="s">
        <v>93</v>
      </c>
      <c r="BN117" s="569"/>
      <c r="BO117" s="569" t="s">
        <v>94</v>
      </c>
      <c r="BP117" s="569"/>
      <c r="BQ117" s="607">
        <f ca="1">TODAY()</f>
        <v>43969</v>
      </c>
      <c r="BR117" s="569"/>
      <c r="BU117" s="606" t="s">
        <v>93</v>
      </c>
      <c r="BZ117" s="569"/>
      <c r="CA117" s="569" t="s">
        <v>94</v>
      </c>
      <c r="CB117" s="569"/>
      <c r="CC117" s="607">
        <f ca="1">TODAY()</f>
        <v>43969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jdlOEyGH1/zzt0Hejhw+UlGV8cXwOwQJRc9Xfnyn15pWTfwD8FobvJ3e/MeE52m9z+mnlnBAJYAy5A6KZ6bO7A==" saltValue="C8lTYcIXrMtopkjw9wt8qg=="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24" sqref="B24:G24"/>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237</v>
      </c>
      <c r="B2" s="863"/>
      <c r="C2" s="863"/>
      <c r="D2" s="566"/>
      <c r="E2" s="569"/>
      <c r="F2" s="569"/>
      <c r="G2" s="754" t="s">
        <v>73</v>
      </c>
      <c r="H2" s="754"/>
      <c r="I2" s="754"/>
      <c r="J2" s="568"/>
      <c r="K2" s="569"/>
      <c r="L2" s="568"/>
      <c r="M2" s="977" t="s">
        <v>237</v>
      </c>
      <c r="N2" s="863"/>
      <c r="O2" s="863"/>
      <c r="P2" s="566"/>
      <c r="Q2" s="569"/>
      <c r="R2" s="569"/>
      <c r="S2" s="754" t="s">
        <v>73</v>
      </c>
      <c r="T2" s="754"/>
      <c r="U2" s="754"/>
      <c r="V2" s="568"/>
      <c r="W2" s="569"/>
      <c r="X2" s="568"/>
      <c r="Y2" s="977" t="s">
        <v>237</v>
      </c>
      <c r="Z2" s="863"/>
      <c r="AA2" s="863"/>
      <c r="AB2" s="566"/>
      <c r="AC2" s="569"/>
      <c r="AD2" s="569"/>
      <c r="AE2" s="754" t="s">
        <v>73</v>
      </c>
      <c r="AF2" s="754"/>
      <c r="AG2" s="754"/>
      <c r="AH2" s="568"/>
      <c r="AI2" s="569"/>
      <c r="AJ2" s="568"/>
      <c r="AK2" s="977" t="s">
        <v>237</v>
      </c>
      <c r="AL2" s="863"/>
      <c r="AM2" s="863"/>
      <c r="AN2" s="566"/>
      <c r="AO2" s="569"/>
      <c r="AP2" s="569"/>
      <c r="AQ2" s="754" t="s">
        <v>73</v>
      </c>
      <c r="AR2" s="754"/>
      <c r="AS2" s="754"/>
      <c r="AT2" s="568"/>
      <c r="AU2" s="569"/>
      <c r="AV2" s="568"/>
      <c r="AW2" s="977" t="s">
        <v>237</v>
      </c>
      <c r="AX2" s="863"/>
      <c r="AY2" s="863"/>
      <c r="AZ2" s="566"/>
      <c r="BA2" s="569"/>
      <c r="BB2" s="569"/>
      <c r="BC2" s="754" t="s">
        <v>73</v>
      </c>
      <c r="BD2" s="754"/>
      <c r="BE2" s="754"/>
      <c r="BF2" s="568"/>
      <c r="BG2" s="569"/>
      <c r="BH2" s="568"/>
      <c r="BI2" s="977" t="s">
        <v>237</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554</v>
      </c>
      <c r="B4" s="953"/>
      <c r="C4" s="1080"/>
      <c r="D4" s="572"/>
      <c r="E4" s="573"/>
      <c r="F4" s="573"/>
      <c r="G4" s="573"/>
      <c r="H4" s="573"/>
      <c r="I4" s="573"/>
      <c r="J4" s="574"/>
      <c r="K4" s="575" t="s">
        <v>74</v>
      </c>
      <c r="L4" s="571"/>
      <c r="M4" s="1063" t="s">
        <v>554</v>
      </c>
      <c r="N4" s="953"/>
      <c r="O4" s="1080"/>
      <c r="P4" s="572"/>
      <c r="Q4" s="573"/>
      <c r="R4" s="573"/>
      <c r="S4" s="573"/>
      <c r="T4" s="573"/>
      <c r="U4" s="573"/>
      <c r="V4" s="574"/>
      <c r="W4" s="575" t="s">
        <v>74</v>
      </c>
      <c r="X4" s="571"/>
      <c r="Y4" s="1063" t="s">
        <v>554</v>
      </c>
      <c r="Z4" s="953"/>
      <c r="AA4" s="1080"/>
      <c r="AB4" s="572"/>
      <c r="AC4" s="573"/>
      <c r="AD4" s="573"/>
      <c r="AE4" s="573"/>
      <c r="AF4" s="573"/>
      <c r="AG4" s="573"/>
      <c r="AH4" s="574"/>
      <c r="AI4" s="575" t="s">
        <v>74</v>
      </c>
      <c r="AJ4" s="571"/>
      <c r="AK4" s="1063" t="s">
        <v>554</v>
      </c>
      <c r="AL4" s="953"/>
      <c r="AM4" s="1080"/>
      <c r="AN4" s="572"/>
      <c r="AO4" s="573"/>
      <c r="AP4" s="573"/>
      <c r="AQ4" s="573"/>
      <c r="AR4" s="573"/>
      <c r="AS4" s="573"/>
      <c r="AT4" s="574"/>
      <c r="AU4" s="575" t="s">
        <v>74</v>
      </c>
      <c r="AV4" s="571"/>
      <c r="AW4" s="1063" t="s">
        <v>554</v>
      </c>
      <c r="AX4" s="953"/>
      <c r="AY4" s="1080"/>
      <c r="AZ4" s="572"/>
      <c r="BA4" s="573"/>
      <c r="BB4" s="573"/>
      <c r="BC4" s="573"/>
      <c r="BD4" s="573"/>
      <c r="BE4" s="573"/>
      <c r="BF4" s="574"/>
      <c r="BG4" s="575" t="s">
        <v>74</v>
      </c>
      <c r="BH4" s="571"/>
      <c r="BI4" s="1063" t="s">
        <v>554</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Atlantic</v>
      </c>
      <c r="B6" s="1098"/>
      <c r="C6" s="1098"/>
      <c r="D6" s="1098"/>
      <c r="E6" s="1098"/>
      <c r="F6" s="1099"/>
      <c r="G6" s="1094">
        <v>43952</v>
      </c>
      <c r="H6" s="1082"/>
      <c r="I6" s="1082"/>
      <c r="J6" s="1083"/>
      <c r="K6" s="569"/>
      <c r="L6" s="578"/>
      <c r="M6" s="1097" t="str">
        <f>A6</f>
        <v>USCGC Atlantic</v>
      </c>
      <c r="N6" s="1098"/>
      <c r="O6" s="1098"/>
      <c r="P6" s="1098"/>
      <c r="Q6" s="1098"/>
      <c r="R6" s="1099"/>
      <c r="S6" s="1094"/>
      <c r="T6" s="1082"/>
      <c r="U6" s="1082"/>
      <c r="V6" s="1083"/>
      <c r="W6" s="569"/>
      <c r="X6" s="578"/>
      <c r="Y6" s="1097" t="str">
        <f>A6</f>
        <v>USCGC Atlantic</v>
      </c>
      <c r="Z6" s="1098"/>
      <c r="AA6" s="1098"/>
      <c r="AB6" s="1098"/>
      <c r="AC6" s="1098"/>
      <c r="AD6" s="1099"/>
      <c r="AE6" s="1094"/>
      <c r="AF6" s="1082"/>
      <c r="AG6" s="1082"/>
      <c r="AH6" s="1083"/>
      <c r="AI6" s="569"/>
      <c r="AJ6" s="578"/>
      <c r="AK6" s="1097" t="str">
        <f>A6</f>
        <v>USCGC Atlantic</v>
      </c>
      <c r="AL6" s="1098"/>
      <c r="AM6" s="1098"/>
      <c r="AN6" s="1098"/>
      <c r="AO6" s="1098"/>
      <c r="AP6" s="1099"/>
      <c r="AQ6" s="1094">
        <v>41609</v>
      </c>
      <c r="AR6" s="1082"/>
      <c r="AS6" s="1082"/>
      <c r="AT6" s="1083"/>
      <c r="AU6" s="569"/>
      <c r="AV6" s="578"/>
      <c r="AW6" s="1097" t="str">
        <f>A6</f>
        <v>USCGC Atlantic</v>
      </c>
      <c r="AX6" s="1098"/>
      <c r="AY6" s="1098"/>
      <c r="AZ6" s="1098"/>
      <c r="BA6" s="1098"/>
      <c r="BB6" s="1099"/>
      <c r="BC6" s="1094">
        <v>41609</v>
      </c>
      <c r="BD6" s="1082"/>
      <c r="BE6" s="1082"/>
      <c r="BF6" s="1083"/>
      <c r="BG6" s="569"/>
      <c r="BH6" s="578"/>
      <c r="BI6" s="1097" t="str">
        <f>A6</f>
        <v>USCGC Atlantic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290</v>
      </c>
      <c r="B10" s="1089"/>
      <c r="C10" s="1089"/>
      <c r="D10" s="1089"/>
      <c r="E10" s="1089"/>
      <c r="F10" s="1090"/>
      <c r="G10" s="1088"/>
      <c r="H10" s="1089"/>
      <c r="I10" s="1089"/>
      <c r="J10" s="1090"/>
      <c r="K10" s="573" t="s">
        <v>205</v>
      </c>
      <c r="L10" s="574"/>
      <c r="M10" s="1088" t="s">
        <v>290</v>
      </c>
      <c r="N10" s="1089"/>
      <c r="O10" s="1089"/>
      <c r="P10" s="1089"/>
      <c r="Q10" s="1089"/>
      <c r="R10" s="1090"/>
      <c r="S10" s="1088"/>
      <c r="T10" s="1089"/>
      <c r="U10" s="1089"/>
      <c r="V10" s="1090"/>
      <c r="W10" s="573" t="s">
        <v>205</v>
      </c>
      <c r="X10" s="574"/>
      <c r="Y10" s="1088" t="s">
        <v>290</v>
      </c>
      <c r="Z10" s="1089"/>
      <c r="AA10" s="1089"/>
      <c r="AB10" s="1089"/>
      <c r="AC10" s="1089"/>
      <c r="AD10" s="1090"/>
      <c r="AE10" s="1088"/>
      <c r="AF10" s="1089"/>
      <c r="AG10" s="1089"/>
      <c r="AH10" s="1090"/>
      <c r="AI10" s="573" t="s">
        <v>205</v>
      </c>
      <c r="AJ10" s="574"/>
      <c r="AK10" s="1088" t="s">
        <v>290</v>
      </c>
      <c r="AL10" s="1089"/>
      <c r="AM10" s="1089"/>
      <c r="AN10" s="1089"/>
      <c r="AO10" s="1089"/>
      <c r="AP10" s="1090"/>
      <c r="AQ10" s="1088"/>
      <c r="AR10" s="1089"/>
      <c r="AS10" s="1089"/>
      <c r="AT10" s="1090"/>
      <c r="AU10" s="573" t="s">
        <v>205</v>
      </c>
      <c r="AV10" s="574"/>
      <c r="AW10" s="1088" t="s">
        <v>290</v>
      </c>
      <c r="AX10" s="1089"/>
      <c r="AY10" s="1089"/>
      <c r="AZ10" s="1089"/>
      <c r="BA10" s="1089"/>
      <c r="BB10" s="1090"/>
      <c r="BC10" s="1088"/>
      <c r="BD10" s="1089"/>
      <c r="BE10" s="1089"/>
      <c r="BF10" s="1090"/>
      <c r="BG10" s="573" t="s">
        <v>205</v>
      </c>
      <c r="BH10" s="574"/>
      <c r="BI10" s="1088" t="s">
        <v>290</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43952</v>
      </c>
      <c r="H36" s="13"/>
      <c r="I36" s="14"/>
      <c r="J36" s="569"/>
      <c r="K36" s="753" t="s">
        <v>90</v>
      </c>
      <c r="L36" s="568"/>
      <c r="M36" s="576"/>
      <c r="N36" s="568"/>
      <c r="O36" s="595"/>
      <c r="P36" s="596"/>
      <c r="Q36" s="595"/>
      <c r="R36" s="757" t="s">
        <v>241</v>
      </c>
      <c r="S36" s="609">
        <f>S6</f>
        <v>0</v>
      </c>
      <c r="T36" s="13"/>
      <c r="U36" s="14"/>
      <c r="V36" s="569"/>
      <c r="W36" s="753" t="s">
        <v>90</v>
      </c>
      <c r="X36" s="568"/>
      <c r="Y36" s="576"/>
      <c r="Z36" s="568"/>
      <c r="AA36" s="595"/>
      <c r="AB36" s="596"/>
      <c r="AC36" s="595"/>
      <c r="AD36" s="757" t="s">
        <v>241</v>
      </c>
      <c r="AE36" s="609">
        <f>AE6</f>
        <v>0</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43969</v>
      </c>
      <c r="J39" s="569"/>
      <c r="M39" s="606" t="s">
        <v>93</v>
      </c>
      <c r="R39" s="569"/>
      <c r="S39" s="569" t="s">
        <v>94</v>
      </c>
      <c r="T39" s="569"/>
      <c r="U39" s="607">
        <f ca="1">TODAY()</f>
        <v>43969</v>
      </c>
      <c r="V39" s="569"/>
      <c r="Y39" s="606" t="s">
        <v>93</v>
      </c>
      <c r="AD39" s="569"/>
      <c r="AE39" s="569" t="s">
        <v>94</v>
      </c>
      <c r="AF39" s="569"/>
      <c r="AG39" s="607">
        <f ca="1">TODAY()</f>
        <v>43969</v>
      </c>
      <c r="AH39" s="569"/>
      <c r="AK39" s="606" t="s">
        <v>93</v>
      </c>
      <c r="AP39" s="569"/>
      <c r="AQ39" s="569" t="s">
        <v>94</v>
      </c>
      <c r="AR39" s="569"/>
      <c r="AS39" s="607">
        <f ca="1">TODAY()</f>
        <v>43969</v>
      </c>
      <c r="AT39" s="569"/>
      <c r="AW39" s="606" t="s">
        <v>93</v>
      </c>
      <c r="BB39" s="569"/>
      <c r="BC39" s="569" t="s">
        <v>94</v>
      </c>
      <c r="BD39" s="569"/>
      <c r="BE39" s="607">
        <f ca="1">TODAY()</f>
        <v>43969</v>
      </c>
      <c r="BF39" s="569"/>
      <c r="BI39" s="606" t="s">
        <v>93</v>
      </c>
      <c r="BN39" s="569"/>
      <c r="BO39" s="569" t="s">
        <v>94</v>
      </c>
      <c r="BP39" s="569"/>
      <c r="BQ39" s="607">
        <f ca="1">TODAY()</f>
        <v>43969</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237</v>
      </c>
      <c r="B41" s="863"/>
      <c r="C41" s="863"/>
      <c r="D41" s="566"/>
      <c r="E41" s="569"/>
      <c r="F41" s="569"/>
      <c r="G41" s="754" t="s">
        <v>73</v>
      </c>
      <c r="H41" s="754"/>
      <c r="I41" s="754"/>
      <c r="J41" s="568"/>
      <c r="K41" s="569"/>
      <c r="L41" s="568"/>
      <c r="M41" s="977" t="s">
        <v>237</v>
      </c>
      <c r="N41" s="863"/>
      <c r="O41" s="863"/>
      <c r="P41" s="566"/>
      <c r="Q41" s="569"/>
      <c r="R41" s="569"/>
      <c r="S41" s="754" t="s">
        <v>73</v>
      </c>
      <c r="T41" s="754"/>
      <c r="U41" s="754"/>
      <c r="V41" s="568"/>
      <c r="W41" s="569"/>
      <c r="X41" s="568"/>
      <c r="Y41" s="977" t="s">
        <v>237</v>
      </c>
      <c r="Z41" s="863"/>
      <c r="AA41" s="863"/>
      <c r="AB41" s="566"/>
      <c r="AC41" s="569"/>
      <c r="AD41" s="569"/>
      <c r="AE41" s="754" t="s">
        <v>73</v>
      </c>
      <c r="AF41" s="754"/>
      <c r="AG41" s="754"/>
      <c r="AH41" s="568"/>
      <c r="AI41" s="569"/>
      <c r="AJ41" s="568"/>
      <c r="AK41" s="977" t="s">
        <v>237</v>
      </c>
      <c r="AL41" s="863"/>
      <c r="AM41" s="863"/>
      <c r="AN41" s="566"/>
      <c r="AO41" s="569"/>
      <c r="AP41" s="569"/>
      <c r="AQ41" s="754" t="s">
        <v>73</v>
      </c>
      <c r="AR41" s="754"/>
      <c r="AS41" s="754"/>
      <c r="AT41" s="568"/>
      <c r="AU41" s="569"/>
      <c r="AV41" s="568"/>
      <c r="AW41" s="977" t="s">
        <v>237</v>
      </c>
      <c r="AX41" s="863"/>
      <c r="AY41" s="863"/>
      <c r="AZ41" s="566"/>
      <c r="BA41" s="569"/>
      <c r="BB41" s="569"/>
      <c r="BC41" s="754" t="s">
        <v>73</v>
      </c>
      <c r="BD41" s="754"/>
      <c r="BE41" s="754"/>
      <c r="BF41" s="568"/>
      <c r="BG41" s="569"/>
      <c r="BH41" s="568"/>
      <c r="BI41" s="977" t="s">
        <v>237</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554</v>
      </c>
      <c r="B43" s="953"/>
      <c r="C43" s="1080"/>
      <c r="D43" s="572"/>
      <c r="E43" s="573"/>
      <c r="F43" s="573"/>
      <c r="G43" s="573"/>
      <c r="H43" s="573"/>
      <c r="I43" s="573"/>
      <c r="J43" s="574"/>
      <c r="K43" s="575" t="s">
        <v>74</v>
      </c>
      <c r="L43" s="571"/>
      <c r="M43" s="1063" t="s">
        <v>554</v>
      </c>
      <c r="N43" s="953"/>
      <c r="O43" s="1080"/>
      <c r="P43" s="572"/>
      <c r="Q43" s="573"/>
      <c r="R43" s="573"/>
      <c r="S43" s="573"/>
      <c r="T43" s="573"/>
      <c r="U43" s="573"/>
      <c r="V43" s="574"/>
      <c r="W43" s="575" t="s">
        <v>74</v>
      </c>
      <c r="X43" s="571"/>
      <c r="Y43" s="1063" t="s">
        <v>554</v>
      </c>
      <c r="Z43" s="953"/>
      <c r="AA43" s="1080"/>
      <c r="AB43" s="572"/>
      <c r="AC43" s="573"/>
      <c r="AD43" s="573"/>
      <c r="AE43" s="573"/>
      <c r="AF43" s="573"/>
      <c r="AG43" s="573"/>
      <c r="AH43" s="574"/>
      <c r="AI43" s="575" t="s">
        <v>74</v>
      </c>
      <c r="AJ43" s="571"/>
      <c r="AK43" s="1063" t="s">
        <v>554</v>
      </c>
      <c r="AL43" s="953"/>
      <c r="AM43" s="1080"/>
      <c r="AN43" s="572"/>
      <c r="AO43" s="573"/>
      <c r="AP43" s="573"/>
      <c r="AQ43" s="573"/>
      <c r="AR43" s="573"/>
      <c r="AS43" s="573"/>
      <c r="AT43" s="574"/>
      <c r="AU43" s="575" t="s">
        <v>74</v>
      </c>
      <c r="AV43" s="571"/>
      <c r="AW43" s="1063" t="s">
        <v>554</v>
      </c>
      <c r="AX43" s="953"/>
      <c r="AY43" s="1080"/>
      <c r="AZ43" s="572"/>
      <c r="BA43" s="573"/>
      <c r="BB43" s="573"/>
      <c r="BC43" s="573"/>
      <c r="BD43" s="573"/>
      <c r="BE43" s="573"/>
      <c r="BF43" s="574"/>
      <c r="BG43" s="575" t="s">
        <v>74</v>
      </c>
      <c r="BH43" s="571"/>
      <c r="BI43" s="1063" t="s">
        <v>554</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Atlantic</v>
      </c>
      <c r="B45" s="1082"/>
      <c r="C45" s="1082"/>
      <c r="D45" s="1082"/>
      <c r="E45" s="1082"/>
      <c r="F45" s="1083"/>
      <c r="G45" s="1084">
        <f>G6</f>
        <v>43952</v>
      </c>
      <c r="H45" s="1082"/>
      <c r="I45" s="1082"/>
      <c r="J45" s="1083"/>
      <c r="K45" s="569"/>
      <c r="L45" s="578"/>
      <c r="M45" s="1081" t="str">
        <f>M6</f>
        <v>USCGC Atlantic</v>
      </c>
      <c r="N45" s="1082"/>
      <c r="O45" s="1082"/>
      <c r="P45" s="1082"/>
      <c r="Q45" s="1082"/>
      <c r="R45" s="1083"/>
      <c r="S45" s="1084">
        <f>S6</f>
        <v>0</v>
      </c>
      <c r="T45" s="1082"/>
      <c r="U45" s="1082"/>
      <c r="V45" s="1083"/>
      <c r="W45" s="569"/>
      <c r="X45" s="578"/>
      <c r="Y45" s="1081" t="str">
        <f>Y6</f>
        <v>USCGC Atlantic</v>
      </c>
      <c r="Z45" s="1082"/>
      <c r="AA45" s="1082"/>
      <c r="AB45" s="1082"/>
      <c r="AC45" s="1082"/>
      <c r="AD45" s="1083"/>
      <c r="AE45" s="1084">
        <f>AE6</f>
        <v>0</v>
      </c>
      <c r="AF45" s="1082"/>
      <c r="AG45" s="1082"/>
      <c r="AH45" s="1083"/>
      <c r="AI45" s="569"/>
      <c r="AJ45" s="578"/>
      <c r="AK45" s="1081" t="str">
        <f>AK6</f>
        <v>USCGC Atlantic</v>
      </c>
      <c r="AL45" s="1082"/>
      <c r="AM45" s="1082"/>
      <c r="AN45" s="1082"/>
      <c r="AO45" s="1082"/>
      <c r="AP45" s="1083"/>
      <c r="AQ45" s="1084">
        <f>AQ6</f>
        <v>41609</v>
      </c>
      <c r="AR45" s="1082"/>
      <c r="AS45" s="1082"/>
      <c r="AT45" s="1083"/>
      <c r="AU45" s="569"/>
      <c r="AV45" s="578"/>
      <c r="AW45" s="1081" t="str">
        <f>AW6</f>
        <v>USCGC Atlantic</v>
      </c>
      <c r="AX45" s="1082"/>
      <c r="AY45" s="1082"/>
      <c r="AZ45" s="1082"/>
      <c r="BA45" s="1082"/>
      <c r="BB45" s="1083"/>
      <c r="BC45" s="1084">
        <f>BC6</f>
        <v>41609</v>
      </c>
      <c r="BD45" s="1082"/>
      <c r="BE45" s="1082"/>
      <c r="BF45" s="1083"/>
      <c r="BG45" s="569"/>
      <c r="BH45" s="578"/>
      <c r="BI45" s="1081" t="str">
        <f>BI6</f>
        <v>USCGC Atlantic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43952</v>
      </c>
      <c r="H75" s="15"/>
      <c r="I75" s="9"/>
      <c r="J75" s="569"/>
      <c r="K75" s="753" t="s">
        <v>90</v>
      </c>
      <c r="L75" s="568"/>
      <c r="M75" s="576"/>
      <c r="N75" s="568"/>
      <c r="O75" s="595"/>
      <c r="P75" s="596"/>
      <c r="Q75" s="595"/>
      <c r="R75" s="757" t="s">
        <v>241</v>
      </c>
      <c r="S75" s="609">
        <f>S36</f>
        <v>0</v>
      </c>
      <c r="T75" s="15"/>
      <c r="U75" s="9"/>
      <c r="V75" s="569"/>
      <c r="W75" s="753" t="s">
        <v>90</v>
      </c>
      <c r="X75" s="568"/>
      <c r="Y75" s="576"/>
      <c r="Z75" s="568"/>
      <c r="AA75" s="595"/>
      <c r="AB75" s="596"/>
      <c r="AC75" s="595"/>
      <c r="AD75" s="757" t="s">
        <v>241</v>
      </c>
      <c r="AE75" s="609">
        <f>AE36</f>
        <v>0</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43969</v>
      </c>
      <c r="J78" s="569"/>
      <c r="M78" s="606" t="s">
        <v>93</v>
      </c>
      <c r="R78" s="569"/>
      <c r="S78" s="569" t="s">
        <v>94</v>
      </c>
      <c r="T78" s="569"/>
      <c r="U78" s="607">
        <f ca="1">TODAY()</f>
        <v>43969</v>
      </c>
      <c r="V78" s="569"/>
      <c r="Y78" s="606" t="s">
        <v>93</v>
      </c>
      <c r="AD78" s="569"/>
      <c r="AE78" s="569" t="s">
        <v>94</v>
      </c>
      <c r="AF78" s="569"/>
      <c r="AG78" s="607">
        <f ca="1">TODAY()</f>
        <v>43969</v>
      </c>
      <c r="AH78" s="569"/>
      <c r="AK78" s="606" t="s">
        <v>93</v>
      </c>
      <c r="AP78" s="569"/>
      <c r="AQ78" s="569" t="s">
        <v>94</v>
      </c>
      <c r="AR78" s="569"/>
      <c r="AS78" s="607">
        <f ca="1">TODAY()</f>
        <v>43969</v>
      </c>
      <c r="AT78" s="569"/>
      <c r="AW78" s="606" t="s">
        <v>93</v>
      </c>
      <c r="BB78" s="569"/>
      <c r="BC78" s="569" t="s">
        <v>94</v>
      </c>
      <c r="BD78" s="569"/>
      <c r="BE78" s="607">
        <f ca="1">TODAY()</f>
        <v>43969</v>
      </c>
      <c r="BF78" s="569"/>
      <c r="BI78" s="606" t="s">
        <v>93</v>
      </c>
      <c r="BN78" s="569"/>
      <c r="BO78" s="569" t="s">
        <v>94</v>
      </c>
      <c r="BP78" s="569"/>
      <c r="BQ78" s="607">
        <f ca="1">TODAY()</f>
        <v>43969</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237</v>
      </c>
      <c r="B80" s="863"/>
      <c r="C80" s="863"/>
      <c r="D80" s="566"/>
      <c r="E80" s="569"/>
      <c r="F80" s="569"/>
      <c r="G80" s="754" t="s">
        <v>73</v>
      </c>
      <c r="H80" s="754"/>
      <c r="I80" s="754"/>
      <c r="J80" s="568"/>
      <c r="K80" s="569"/>
      <c r="L80" s="568"/>
      <c r="M80" s="977" t="s">
        <v>237</v>
      </c>
      <c r="N80" s="863"/>
      <c r="O80" s="863"/>
      <c r="P80" s="566"/>
      <c r="Q80" s="569"/>
      <c r="R80" s="569"/>
      <c r="S80" s="754" t="s">
        <v>73</v>
      </c>
      <c r="T80" s="754"/>
      <c r="U80" s="754"/>
      <c r="V80" s="568"/>
      <c r="W80" s="569"/>
      <c r="X80" s="568"/>
      <c r="Y80" s="977" t="s">
        <v>237</v>
      </c>
      <c r="Z80" s="863"/>
      <c r="AA80" s="863"/>
      <c r="AB80" s="566"/>
      <c r="AC80" s="569"/>
      <c r="AD80" s="569"/>
      <c r="AE80" s="754" t="s">
        <v>73</v>
      </c>
      <c r="AF80" s="754"/>
      <c r="AG80" s="754"/>
      <c r="AH80" s="568"/>
      <c r="AI80" s="569"/>
      <c r="AJ80" s="568"/>
      <c r="AK80" s="977" t="s">
        <v>237</v>
      </c>
      <c r="AL80" s="863"/>
      <c r="AM80" s="863"/>
      <c r="AN80" s="566"/>
      <c r="AO80" s="569"/>
      <c r="AP80" s="569"/>
      <c r="AQ80" s="754" t="s">
        <v>73</v>
      </c>
      <c r="AR80" s="754"/>
      <c r="AS80" s="754"/>
      <c r="AT80" s="568"/>
      <c r="AU80" s="569"/>
      <c r="AV80" s="568"/>
      <c r="AW80" s="977" t="s">
        <v>237</v>
      </c>
      <c r="AX80" s="863"/>
      <c r="AY80" s="863"/>
      <c r="AZ80" s="566"/>
      <c r="BA80" s="569"/>
      <c r="BB80" s="569"/>
      <c r="BC80" s="754" t="s">
        <v>73</v>
      </c>
      <c r="BD80" s="754"/>
      <c r="BE80" s="754"/>
      <c r="BF80" s="568"/>
      <c r="BG80" s="569"/>
      <c r="BH80" s="568"/>
      <c r="BI80" s="977" t="s">
        <v>237</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554</v>
      </c>
      <c r="B82" s="953"/>
      <c r="C82" s="1080"/>
      <c r="D82" s="572"/>
      <c r="E82" s="573"/>
      <c r="F82" s="573"/>
      <c r="G82" s="573"/>
      <c r="H82" s="573"/>
      <c r="I82" s="573"/>
      <c r="J82" s="574"/>
      <c r="K82" s="575" t="s">
        <v>74</v>
      </c>
      <c r="L82" s="571"/>
      <c r="M82" s="1063" t="s">
        <v>554</v>
      </c>
      <c r="N82" s="953"/>
      <c r="O82" s="1080"/>
      <c r="P82" s="572"/>
      <c r="Q82" s="573"/>
      <c r="R82" s="573"/>
      <c r="S82" s="573"/>
      <c r="T82" s="573"/>
      <c r="U82" s="573"/>
      <c r="V82" s="574"/>
      <c r="W82" s="575" t="s">
        <v>74</v>
      </c>
      <c r="X82" s="571"/>
      <c r="Y82" s="1063" t="s">
        <v>554</v>
      </c>
      <c r="Z82" s="953"/>
      <c r="AA82" s="1080"/>
      <c r="AB82" s="572"/>
      <c r="AC82" s="573"/>
      <c r="AD82" s="573"/>
      <c r="AE82" s="573"/>
      <c r="AF82" s="573"/>
      <c r="AG82" s="573"/>
      <c r="AH82" s="574"/>
      <c r="AI82" s="575" t="s">
        <v>74</v>
      </c>
      <c r="AJ82" s="571"/>
      <c r="AK82" s="1063" t="s">
        <v>554</v>
      </c>
      <c r="AL82" s="953"/>
      <c r="AM82" s="1080"/>
      <c r="AN82" s="572"/>
      <c r="AO82" s="573"/>
      <c r="AP82" s="573"/>
      <c r="AQ82" s="573"/>
      <c r="AR82" s="573"/>
      <c r="AS82" s="573"/>
      <c r="AT82" s="574"/>
      <c r="AU82" s="575" t="s">
        <v>74</v>
      </c>
      <c r="AV82" s="571"/>
      <c r="AW82" s="1063" t="s">
        <v>554</v>
      </c>
      <c r="AX82" s="953"/>
      <c r="AY82" s="1080"/>
      <c r="AZ82" s="572"/>
      <c r="BA82" s="573"/>
      <c r="BB82" s="573"/>
      <c r="BC82" s="573"/>
      <c r="BD82" s="573"/>
      <c r="BE82" s="573"/>
      <c r="BF82" s="574"/>
      <c r="BG82" s="575" t="s">
        <v>74</v>
      </c>
      <c r="BH82" s="571"/>
      <c r="BI82" s="1063" t="s">
        <v>554</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Atlantic</v>
      </c>
      <c r="B84" s="1082"/>
      <c r="C84" s="1082"/>
      <c r="D84" s="1082"/>
      <c r="E84" s="1082"/>
      <c r="F84" s="1083"/>
      <c r="G84" s="1084">
        <f>G45</f>
        <v>43952</v>
      </c>
      <c r="H84" s="1082"/>
      <c r="I84" s="1082"/>
      <c r="J84" s="1083"/>
      <c r="K84" s="569"/>
      <c r="L84" s="578"/>
      <c r="M84" s="1081" t="str">
        <f>M45</f>
        <v>USCGC Atlantic</v>
      </c>
      <c r="N84" s="1082"/>
      <c r="O84" s="1082"/>
      <c r="P84" s="1082"/>
      <c r="Q84" s="1082"/>
      <c r="R84" s="1083"/>
      <c r="S84" s="1084">
        <f>S45</f>
        <v>0</v>
      </c>
      <c r="T84" s="1082"/>
      <c r="U84" s="1082"/>
      <c r="V84" s="1083"/>
      <c r="W84" s="569"/>
      <c r="X84" s="578"/>
      <c r="Y84" s="1081" t="str">
        <f>Y45</f>
        <v>USCGC Atlantic</v>
      </c>
      <c r="Z84" s="1082"/>
      <c r="AA84" s="1082"/>
      <c r="AB84" s="1082"/>
      <c r="AC84" s="1082"/>
      <c r="AD84" s="1083"/>
      <c r="AE84" s="1084">
        <f>AE45</f>
        <v>0</v>
      </c>
      <c r="AF84" s="1082"/>
      <c r="AG84" s="1082"/>
      <c r="AH84" s="1083"/>
      <c r="AI84" s="569"/>
      <c r="AJ84" s="578"/>
      <c r="AK84" s="1081" t="str">
        <f>AK45</f>
        <v>USCGC Atlantic</v>
      </c>
      <c r="AL84" s="1082"/>
      <c r="AM84" s="1082"/>
      <c r="AN84" s="1082"/>
      <c r="AO84" s="1082"/>
      <c r="AP84" s="1083"/>
      <c r="AQ84" s="1084">
        <f>AQ45</f>
        <v>41609</v>
      </c>
      <c r="AR84" s="1082"/>
      <c r="AS84" s="1082"/>
      <c r="AT84" s="1083"/>
      <c r="AU84" s="569"/>
      <c r="AV84" s="578"/>
      <c r="AW84" s="1081" t="str">
        <f>AW45</f>
        <v>USCGC Atlantic</v>
      </c>
      <c r="AX84" s="1082"/>
      <c r="AY84" s="1082"/>
      <c r="AZ84" s="1082"/>
      <c r="BA84" s="1082"/>
      <c r="BB84" s="1083"/>
      <c r="BC84" s="1084">
        <f>BC45</f>
        <v>41609</v>
      </c>
      <c r="BD84" s="1082"/>
      <c r="BE84" s="1082"/>
      <c r="BF84" s="1083"/>
      <c r="BG84" s="569"/>
      <c r="BH84" s="578"/>
      <c r="BI84" s="1081" t="str">
        <f>BI45</f>
        <v>USCGC Atlantic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43952</v>
      </c>
      <c r="H114" s="15"/>
      <c r="I114" s="16"/>
      <c r="J114" s="569"/>
      <c r="K114" s="753" t="s">
        <v>90</v>
      </c>
      <c r="L114" s="568"/>
      <c r="M114" s="576"/>
      <c r="N114" s="568"/>
      <c r="O114" s="595"/>
      <c r="P114" s="596"/>
      <c r="Q114" s="595"/>
      <c r="R114" s="757" t="s">
        <v>241</v>
      </c>
      <c r="S114" s="609">
        <f>S75</f>
        <v>0</v>
      </c>
      <c r="T114" s="15"/>
      <c r="U114" s="16"/>
      <c r="V114" s="569"/>
      <c r="W114" s="753" t="s">
        <v>90</v>
      </c>
      <c r="X114" s="568"/>
      <c r="Y114" s="576"/>
      <c r="Z114" s="568"/>
      <c r="AA114" s="595"/>
      <c r="AB114" s="596"/>
      <c r="AC114" s="595"/>
      <c r="AD114" s="757" t="s">
        <v>241</v>
      </c>
      <c r="AE114" s="609">
        <f>AE75</f>
        <v>0</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43969</v>
      </c>
      <c r="J117" s="569"/>
      <c r="M117" s="606" t="s">
        <v>93</v>
      </c>
      <c r="R117" s="569"/>
      <c r="S117" s="569" t="s">
        <v>94</v>
      </c>
      <c r="T117" s="569"/>
      <c r="U117" s="607">
        <f ca="1">TODAY()</f>
        <v>43969</v>
      </c>
      <c r="V117" s="569"/>
      <c r="Y117" s="606" t="s">
        <v>93</v>
      </c>
      <c r="AD117" s="569"/>
      <c r="AE117" s="569" t="s">
        <v>94</v>
      </c>
      <c r="AF117" s="569"/>
      <c r="AG117" s="607">
        <f ca="1">TODAY()</f>
        <v>43969</v>
      </c>
      <c r="AH117" s="569"/>
      <c r="AK117" s="606" t="s">
        <v>93</v>
      </c>
      <c r="AP117" s="569"/>
      <c r="AQ117" s="569" t="s">
        <v>94</v>
      </c>
      <c r="AR117" s="569"/>
      <c r="AS117" s="607">
        <f ca="1">TODAY()</f>
        <v>43969</v>
      </c>
      <c r="AT117" s="569"/>
      <c r="AW117" s="606" t="s">
        <v>93</v>
      </c>
      <c r="BB117" s="569"/>
      <c r="BC117" s="569" t="s">
        <v>94</v>
      </c>
      <c r="BD117" s="569"/>
      <c r="BE117" s="607">
        <f ca="1">TODAY()</f>
        <v>43969</v>
      </c>
      <c r="BF117" s="569"/>
      <c r="BI117" s="606" t="s">
        <v>93</v>
      </c>
      <c r="BN117" s="569"/>
      <c r="BO117" s="569" t="s">
        <v>94</v>
      </c>
      <c r="BP117" s="569"/>
      <c r="BQ117" s="607">
        <f ca="1">TODAY()</f>
        <v>43969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I42XTxO5MlYOt/6K/0pozUffPeH7g26gqvfcuwF3+EfUv5ZXrCt883JO10XpiDj+K5zmQs8uCPDgcfvddY2CHw==" saltValue="DcP2n9SzQcMgYpc7pWvW8A=="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13" t="str">
        <f>Menu!F3</f>
        <v>USCGC Atlantic</v>
      </c>
      <c r="B6" s="1114"/>
      <c r="C6" s="1114"/>
      <c r="D6" s="1115"/>
      <c r="E6" s="1113" t="str">
        <f>Menu!F4</f>
        <v>12-34567</v>
      </c>
      <c r="F6" s="1116"/>
      <c r="G6" s="1117">
        <f>Menu!F6</f>
        <v>43951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08"/>
    </row>
    <row r="55" spans="1:9" ht="13.5" thickBot="1" x14ac:dyDescent="0.25">
      <c r="A55" s="74"/>
      <c r="B55" s="75"/>
      <c r="C55" s="75"/>
      <c r="D55" s="111"/>
      <c r="E55" s="112"/>
      <c r="F55" s="113"/>
      <c r="G55" s="114" t="s">
        <v>263</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08"/>
    </row>
    <row r="107" spans="1:9" ht="13.5" thickBot="1" x14ac:dyDescent="0.25">
      <c r="A107" s="74"/>
      <c r="B107" s="75"/>
      <c r="C107" s="75"/>
      <c r="D107" s="111"/>
      <c r="E107" s="112"/>
      <c r="F107" s="113"/>
      <c r="G107" s="114" t="s">
        <v>263</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08"/>
    </row>
    <row r="159" spans="1:9" ht="13.5" thickBot="1" x14ac:dyDescent="0.25">
      <c r="A159" s="74"/>
      <c r="B159" s="75"/>
      <c r="C159" s="75"/>
      <c r="D159" s="111"/>
      <c r="E159" s="112"/>
      <c r="F159" s="113"/>
      <c r="G159" s="114" t="s">
        <v>263</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08"/>
    </row>
    <row r="211" spans="1:9" ht="13.5" thickBot="1" x14ac:dyDescent="0.25">
      <c r="A211" s="74"/>
      <c r="B211" s="75"/>
      <c r="C211" s="75"/>
      <c r="D211" s="111"/>
      <c r="E211" s="112"/>
      <c r="F211" s="113"/>
      <c r="G211" s="114" t="s">
        <v>263</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08"/>
    </row>
    <row r="263" spans="1:9" ht="13.5" thickBot="1" x14ac:dyDescent="0.25">
      <c r="A263" s="74"/>
      <c r="B263" s="75"/>
      <c r="C263" s="75"/>
      <c r="D263" s="111"/>
      <c r="E263" s="112"/>
      <c r="F263" s="113"/>
      <c r="G263" s="114" t="s">
        <v>263</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hyAdQ78nPAJUbb9J94tl9Bbv56OvHWZf5zCCqMwLYH3pGMwZ2BkR2rVvCquwxX8PmqgKJAZWc/WjCHFmQQwy7Q==" saltValue="3Do4INf4QpQyqNeJlIZuAQ=="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lSg78pC5qm5oGAse9MUhTHEeMQKy9h/8XBOoMxG/pvT69I0JOtfMOx8X9kjiuGp49aWLW9BxBfGNMPuvozIQeg==" saltValue="FtIQWl8KLuJsyBpdfyfQv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370</v>
      </c>
      <c r="H1" s="1124"/>
      <c r="I1" s="239"/>
      <c r="J1" s="240"/>
      <c r="K1" s="253" t="s">
        <v>371</v>
      </c>
    </row>
    <row r="2" spans="1:11" ht="12" customHeight="1" x14ac:dyDescent="0.25">
      <c r="A2" s="275"/>
      <c r="B2" s="276"/>
      <c r="C2" s="276"/>
      <c r="D2" s="259"/>
      <c r="E2" s="259"/>
      <c r="F2" s="259"/>
      <c r="G2" s="1125" t="str">
        <f>Menu!F3</f>
        <v>USCGC Atlantic</v>
      </c>
      <c r="H2" s="1126"/>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29" t="s">
        <v>549</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315</v>
      </c>
      <c r="B29" s="261"/>
      <c r="C29" s="261"/>
      <c r="D29" s="268"/>
      <c r="E29" s="1132" t="str">
        <f>G2</f>
        <v>USCGC Atlantic</v>
      </c>
      <c r="F29" s="1132"/>
      <c r="G29" s="261"/>
      <c r="H29" s="261"/>
      <c r="I29" s="261"/>
      <c r="J29" s="261"/>
      <c r="K29" s="292"/>
    </row>
    <row r="30" spans="1:12" ht="18.75" x14ac:dyDescent="0.3">
      <c r="A30" s="291" t="s">
        <v>383</v>
      </c>
      <c r="B30" s="261"/>
      <c r="C30" s="261"/>
      <c r="D30" s="261"/>
      <c r="E30" s="1132" t="str">
        <f>K1</f>
        <v>400 Sand Island Access Rd</v>
      </c>
      <c r="F30" s="1132"/>
      <c r="G30" s="261"/>
      <c r="H30" s="261"/>
      <c r="I30" s="261"/>
      <c r="J30" s="261"/>
      <c r="K30" s="292"/>
    </row>
    <row r="31" spans="1:12" ht="18.75" x14ac:dyDescent="0.3">
      <c r="A31" s="294" t="s">
        <v>384</v>
      </c>
      <c r="B31" s="266"/>
      <c r="C31" s="266"/>
      <c r="D31" s="261"/>
      <c r="E31" s="1132" t="str">
        <f>K2</f>
        <v>Honolulu, HI 96819</v>
      </c>
      <c r="F31" s="1132"/>
      <c r="G31" s="261"/>
      <c r="H31" s="266"/>
      <c r="I31" s="261"/>
      <c r="J31" s="261"/>
      <c r="K31" s="292"/>
      <c r="L31" s="222"/>
    </row>
    <row r="32" spans="1:12" ht="18.75" x14ac:dyDescent="0.3">
      <c r="A32" s="295" t="s">
        <v>385</v>
      </c>
      <c r="B32" s="267"/>
      <c r="C32" s="267"/>
      <c r="D32" s="262"/>
      <c r="E32" s="1131" t="str">
        <f>TRIM(MID(K5,FIND(":",K5)+1,256))</f>
        <v>john.doe@uscg.mil</v>
      </c>
      <c r="F32" s="1131"/>
      <c r="G32" s="262"/>
      <c r="H32" s="296"/>
      <c r="I32" s="262"/>
      <c r="J32" s="297"/>
      <c r="K32" s="298"/>
      <c r="L32" s="227"/>
    </row>
    <row r="33" spans="1:12" ht="18.75" x14ac:dyDescent="0.3">
      <c r="A33" s="299" t="s">
        <v>427</v>
      </c>
      <c r="B33" s="262"/>
      <c r="C33" s="262"/>
      <c r="D33" s="262"/>
      <c r="E33" s="791" t="s">
        <v>548</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28" t="s">
        <v>387</v>
      </c>
      <c r="E35" s="1128"/>
      <c r="F35" s="1128"/>
      <c r="G35" s="1128"/>
      <c r="H35" s="1128"/>
      <c r="I35" s="344"/>
      <c r="J35" s="345" t="s">
        <v>388</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389</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Te77hH8YfMuhzKig+X9vqi/7gJs7LJK35H3Cu4+vNCuF4ZoR3jWT28dS+4SOu8RISeK3q7JscdEkpqM3tpQs1w==" saltValue="IHE7gWfsP8ukPgOohjgdzQ=="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1" sqref="H11:J1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97" t="s">
        <v>397</v>
      </c>
      <c r="B1" s="1198"/>
      <c r="C1" s="1199"/>
      <c r="D1" s="1200" t="s">
        <v>398</v>
      </c>
      <c r="E1" s="1201"/>
      <c r="F1" s="1201"/>
      <c r="G1" s="1201"/>
      <c r="H1" s="1201"/>
      <c r="I1" s="1201"/>
      <c r="J1" s="1201"/>
      <c r="K1" s="1201"/>
      <c r="L1" s="1201"/>
      <c r="M1" s="1201"/>
      <c r="N1" s="1201"/>
      <c r="O1" s="1201"/>
      <c r="P1" s="1201"/>
      <c r="Q1" s="1201"/>
      <c r="R1" s="1201"/>
      <c r="S1" s="1201"/>
      <c r="T1" s="1201"/>
      <c r="U1" s="1204" t="s">
        <v>69</v>
      </c>
      <c r="V1" s="1206">
        <v>43952</v>
      </c>
      <c r="W1" s="1207"/>
    </row>
    <row r="2" spans="1:28" ht="24.95" customHeight="1" thickBot="1" x14ac:dyDescent="0.25">
      <c r="A2" s="1210" t="s">
        <v>555</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399</v>
      </c>
      <c r="B3" s="1214"/>
      <c r="C3" s="1215" t="str">
        <f>Menu!F3</f>
        <v>USCGC Atlantic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400</v>
      </c>
      <c r="B4" s="1182"/>
      <c r="C4" s="1183" t="s">
        <v>401</v>
      </c>
      <c r="D4" s="1183"/>
      <c r="E4" s="1183"/>
      <c r="F4" s="1183"/>
      <c r="G4" s="1183"/>
      <c r="H4" s="1183"/>
      <c r="I4" s="1183"/>
      <c r="J4" s="1184"/>
      <c r="K4" s="745" t="s">
        <v>402</v>
      </c>
      <c r="L4" s="1185" t="s">
        <v>155</v>
      </c>
      <c r="M4" s="1185"/>
      <c r="N4" s="1185"/>
      <c r="O4" s="1185"/>
      <c r="P4" s="1185"/>
      <c r="Q4" s="1185"/>
      <c r="R4" s="1185"/>
      <c r="S4" s="1185"/>
      <c r="T4" s="1185"/>
      <c r="U4" s="1185"/>
      <c r="V4" s="1185"/>
      <c r="W4" s="1186"/>
      <c r="X4" s="1187" t="s">
        <v>403</v>
      </c>
      <c r="Y4" s="1188"/>
      <c r="Z4" s="1188"/>
      <c r="AA4" s="633" t="s">
        <v>409</v>
      </c>
      <c r="AB4" s="634"/>
    </row>
    <row r="5" spans="1:28" ht="32.25" customHeight="1" thickBot="1" x14ac:dyDescent="0.25">
      <c r="A5" s="1189" t="s">
        <v>404</v>
      </c>
      <c r="B5" s="1190"/>
      <c r="C5" s="1190"/>
      <c r="D5" s="1191" t="s">
        <v>405</v>
      </c>
      <c r="E5" s="1191"/>
      <c r="F5" s="1191"/>
      <c r="G5" s="1191"/>
      <c r="H5" s="1191"/>
      <c r="I5" s="1191"/>
      <c r="J5" s="1192"/>
      <c r="K5" s="1193" t="s">
        <v>412</v>
      </c>
      <c r="L5" s="1194"/>
      <c r="M5" s="1194"/>
      <c r="N5" s="1194"/>
      <c r="O5" s="635">
        <f>IF(L4="Breakfast",'CG-3123'!AM3,IF(L4="Lunch",'CG-3123'!AN3,IF(L4="Dinner",'CG-3123'!AO3,0)))</f>
        <v>2.5499999999999998</v>
      </c>
      <c r="P5" s="1195" t="s">
        <v>447</v>
      </c>
      <c r="Q5" s="1196"/>
      <c r="R5" s="1196"/>
      <c r="S5" s="1196"/>
      <c r="T5" s="1196"/>
      <c r="U5" s="1196"/>
      <c r="V5" s="1196"/>
      <c r="W5" s="635">
        <f>IF(L4="Breakfast",'CG-3123'!AM41,IF(L4="Lunch",'CG-3123'!AN41,IF(L4="Dinner",'CG-3123'!AO41,0)))</f>
        <v>4.0999999999999996</v>
      </c>
    </row>
    <row r="6" spans="1:28" ht="27.75" customHeight="1" thickBot="1" x14ac:dyDescent="0.25">
      <c r="A6" s="1172" t="s">
        <v>406</v>
      </c>
      <c r="B6" s="1173"/>
      <c r="C6" s="1173"/>
      <c r="D6" s="1173"/>
      <c r="E6" s="1174"/>
      <c r="F6" s="638" t="s">
        <v>479</v>
      </c>
      <c r="G6" s="749" t="s">
        <v>480</v>
      </c>
      <c r="H6" s="1175" t="s">
        <v>490</v>
      </c>
      <c r="I6" s="1176"/>
      <c r="J6" s="1176"/>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407</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55" t="s">
        <v>411</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450</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451</v>
      </c>
      <c r="B42" s="1160"/>
      <c r="C42" s="1161" t="s">
        <v>463</v>
      </c>
      <c r="D42" s="1161"/>
      <c r="E42" s="1162" t="s">
        <v>481</v>
      </c>
      <c r="F42" s="1162"/>
      <c r="G42" s="1162"/>
      <c r="H42" s="1162"/>
      <c r="I42" s="1162"/>
      <c r="J42" s="1162"/>
      <c r="K42" s="1162"/>
      <c r="L42" s="1162"/>
      <c r="M42" s="1162"/>
      <c r="N42" s="1162"/>
      <c r="O42" s="1162"/>
      <c r="P42" s="1162"/>
      <c r="Q42" s="1163"/>
    </row>
    <row r="43" spans="1:23" ht="24.6" customHeight="1" x14ac:dyDescent="0.2">
      <c r="A43" s="1137"/>
      <c r="B43" s="1138"/>
      <c r="C43" s="1150" t="s">
        <v>454</v>
      </c>
      <c r="D43" s="1164"/>
      <c r="E43" s="1152" t="s">
        <v>478</v>
      </c>
      <c r="F43" s="1153"/>
      <c r="G43" s="1153"/>
      <c r="H43" s="1153"/>
      <c r="I43" s="1153"/>
      <c r="J43" s="1153"/>
      <c r="K43" s="1153"/>
      <c r="L43" s="1153"/>
      <c r="M43" s="1153"/>
      <c r="N43" s="1153"/>
      <c r="O43" s="1153"/>
      <c r="P43" s="1153"/>
      <c r="Q43" s="1154"/>
    </row>
    <row r="44" spans="1:23" ht="24.6" customHeight="1" x14ac:dyDescent="0.2">
      <c r="A44" s="1137"/>
      <c r="B44" s="1138"/>
      <c r="C44" s="1144" t="s">
        <v>455</v>
      </c>
      <c r="D44" s="1144"/>
      <c r="E44" s="1145" t="s">
        <v>477</v>
      </c>
      <c r="F44" s="1145"/>
      <c r="G44" s="1145"/>
      <c r="H44" s="1145"/>
      <c r="I44" s="1145"/>
      <c r="J44" s="1145"/>
      <c r="K44" s="1145"/>
      <c r="L44" s="1145"/>
      <c r="M44" s="1145"/>
      <c r="N44" s="1145"/>
      <c r="O44" s="1145"/>
      <c r="P44" s="1145"/>
      <c r="Q44" s="1146"/>
    </row>
    <row r="45" spans="1:23" ht="24.6" customHeight="1" x14ac:dyDescent="0.2">
      <c r="A45" s="1137"/>
      <c r="B45" s="1138"/>
      <c r="C45" s="1144" t="s">
        <v>475</v>
      </c>
      <c r="D45" s="1144"/>
      <c r="E45" s="1145" t="s">
        <v>476</v>
      </c>
      <c r="F45" s="1145"/>
      <c r="G45" s="1145"/>
      <c r="H45" s="1145"/>
      <c r="I45" s="1145"/>
      <c r="J45" s="1145"/>
      <c r="K45" s="1145"/>
      <c r="L45" s="1145"/>
      <c r="M45" s="1145"/>
      <c r="N45" s="1145"/>
      <c r="O45" s="1145"/>
      <c r="P45" s="1145"/>
      <c r="Q45" s="1146"/>
    </row>
    <row r="46" spans="1:23" ht="24.6" customHeight="1" thickBot="1" x14ac:dyDescent="0.25">
      <c r="A46" s="1137"/>
      <c r="B46" s="1138"/>
      <c r="C46" s="1165" t="s">
        <v>452</v>
      </c>
      <c r="D46" s="1165"/>
      <c r="E46" s="1166" t="s">
        <v>453</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482</v>
      </c>
      <c r="B48" s="1138"/>
      <c r="C48" s="1141" t="s">
        <v>456</v>
      </c>
      <c r="D48" s="1141"/>
      <c r="E48" s="1142" t="s">
        <v>468</v>
      </c>
      <c r="F48" s="1142"/>
      <c r="G48" s="1142"/>
      <c r="H48" s="1142"/>
      <c r="I48" s="1142"/>
      <c r="J48" s="1142"/>
      <c r="K48" s="1142"/>
      <c r="L48" s="1142"/>
      <c r="M48" s="1142"/>
      <c r="N48" s="1142"/>
      <c r="O48" s="1142"/>
      <c r="P48" s="1142"/>
      <c r="Q48" s="1143"/>
    </row>
    <row r="49" spans="1:17" ht="24.6" customHeight="1" x14ac:dyDescent="0.2">
      <c r="A49" s="1137"/>
      <c r="B49" s="1138"/>
      <c r="C49" s="1144" t="s">
        <v>457</v>
      </c>
      <c r="D49" s="1144"/>
      <c r="E49" s="1145" t="s">
        <v>474</v>
      </c>
      <c r="F49" s="1145"/>
      <c r="G49" s="1145"/>
      <c r="H49" s="1145"/>
      <c r="I49" s="1145"/>
      <c r="J49" s="1145"/>
      <c r="K49" s="1145"/>
      <c r="L49" s="1145"/>
      <c r="M49" s="1145"/>
      <c r="N49" s="1145"/>
      <c r="O49" s="1145"/>
      <c r="P49" s="1145"/>
      <c r="Q49" s="1146"/>
    </row>
    <row r="50" spans="1:17" ht="24.6" customHeight="1" x14ac:dyDescent="0.2">
      <c r="A50" s="1137"/>
      <c r="B50" s="1138"/>
      <c r="C50" s="1144" t="s">
        <v>458</v>
      </c>
      <c r="D50" s="1144"/>
      <c r="E50" s="1145" t="s">
        <v>473</v>
      </c>
      <c r="F50" s="1145"/>
      <c r="G50" s="1145"/>
      <c r="H50" s="1145"/>
      <c r="I50" s="1145"/>
      <c r="J50" s="1145"/>
      <c r="K50" s="1145"/>
      <c r="L50" s="1145"/>
      <c r="M50" s="1145"/>
      <c r="N50" s="1145"/>
      <c r="O50" s="1145"/>
      <c r="P50" s="1145"/>
      <c r="Q50" s="1146"/>
    </row>
    <row r="51" spans="1:17" ht="24.6" customHeight="1" x14ac:dyDescent="0.2">
      <c r="A51" s="1137"/>
      <c r="B51" s="1138"/>
      <c r="C51" s="1150" t="s">
        <v>483</v>
      </c>
      <c r="D51" s="1151"/>
      <c r="E51" s="1152" t="s">
        <v>469</v>
      </c>
      <c r="F51" s="1153"/>
      <c r="G51" s="1153"/>
      <c r="H51" s="1153"/>
      <c r="I51" s="1153"/>
      <c r="J51" s="1153"/>
      <c r="K51" s="1153"/>
      <c r="L51" s="1153"/>
      <c r="M51" s="1153"/>
      <c r="N51" s="1153"/>
      <c r="O51" s="1153"/>
      <c r="P51" s="1153"/>
      <c r="Q51" s="1154"/>
    </row>
    <row r="52" spans="1:17" ht="24.6" customHeight="1" x14ac:dyDescent="0.2">
      <c r="A52" s="1137"/>
      <c r="B52" s="1138"/>
      <c r="C52" s="1144" t="s">
        <v>472</v>
      </c>
      <c r="D52" s="1144"/>
      <c r="E52" s="1145" t="s">
        <v>471</v>
      </c>
      <c r="F52" s="1145"/>
      <c r="G52" s="1145"/>
      <c r="H52" s="1145"/>
      <c r="I52" s="1145"/>
      <c r="J52" s="1145"/>
      <c r="K52" s="1145"/>
      <c r="L52" s="1145"/>
      <c r="M52" s="1145"/>
      <c r="N52" s="1145"/>
      <c r="O52" s="1145"/>
      <c r="P52" s="1145"/>
      <c r="Q52" s="1146"/>
    </row>
    <row r="53" spans="1:17" ht="24.6" customHeight="1" x14ac:dyDescent="0.2">
      <c r="A53" s="1137"/>
      <c r="B53" s="1138"/>
      <c r="C53" s="1144" t="s">
        <v>459</v>
      </c>
      <c r="D53" s="1144"/>
      <c r="E53" s="1145" t="s">
        <v>470</v>
      </c>
      <c r="F53" s="1145"/>
      <c r="G53" s="1145"/>
      <c r="H53" s="1145"/>
      <c r="I53" s="1145"/>
      <c r="J53" s="1145"/>
      <c r="K53" s="1145"/>
      <c r="L53" s="1145"/>
      <c r="M53" s="1145"/>
      <c r="N53" s="1145"/>
      <c r="O53" s="1145"/>
      <c r="P53" s="1145"/>
      <c r="Q53" s="1146"/>
    </row>
    <row r="54" spans="1:17" ht="24.6" customHeight="1" x14ac:dyDescent="0.2">
      <c r="A54" s="1137"/>
      <c r="B54" s="1138"/>
      <c r="C54" s="1144" t="s">
        <v>460</v>
      </c>
      <c r="D54" s="1144"/>
      <c r="E54" s="1145" t="s">
        <v>461</v>
      </c>
      <c r="F54" s="1145"/>
      <c r="G54" s="1145"/>
      <c r="H54" s="1145"/>
      <c r="I54" s="1145"/>
      <c r="J54" s="1145"/>
      <c r="K54" s="1145"/>
      <c r="L54" s="1145"/>
      <c r="M54" s="1145"/>
      <c r="N54" s="1145"/>
      <c r="O54" s="1145"/>
      <c r="P54" s="1145"/>
      <c r="Q54" s="1146"/>
    </row>
    <row r="55" spans="1:17" ht="24.6" customHeight="1" thickBot="1" x14ac:dyDescent="0.25">
      <c r="A55" s="1139"/>
      <c r="B55" s="1140"/>
      <c r="C55" s="1147" t="s">
        <v>462</v>
      </c>
      <c r="D55" s="1147"/>
      <c r="E55" s="1148" t="s">
        <v>484</v>
      </c>
      <c r="F55" s="1148"/>
      <c r="G55" s="1148"/>
      <c r="H55" s="1148"/>
      <c r="I55" s="1148"/>
      <c r="J55" s="1148"/>
      <c r="K55" s="1148"/>
      <c r="L55" s="1148"/>
      <c r="M55" s="1148"/>
      <c r="N55" s="1148"/>
      <c r="O55" s="1148"/>
      <c r="P55" s="1148"/>
      <c r="Q55" s="1149"/>
    </row>
  </sheetData>
  <sheetProtection algorithmName="SHA-512" hashValue="v3bAdvYFyMoZSsLXtRUMou12c9at+NJgq9FYB2Ekx5KpdMXfGl3fKqafc52uGrQ7yrbBSl6kIbVUPQR/J/FKhg==" saltValue="p746mQhhFHzfKYf14nIQkQ=="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397</v>
      </c>
      <c r="B1" s="1237"/>
      <c r="C1" s="1238"/>
      <c r="D1" s="1232" t="s">
        <v>413</v>
      </c>
      <c r="E1" s="1233"/>
      <c r="F1" s="1233"/>
      <c r="G1" s="1233"/>
      <c r="H1" s="1233"/>
      <c r="I1" s="1233"/>
      <c r="J1" s="1233"/>
      <c r="K1" s="1233"/>
      <c r="L1" s="1233"/>
      <c r="M1" s="1233"/>
      <c r="N1" s="1233"/>
      <c r="O1" s="1233"/>
      <c r="P1" s="1233"/>
      <c r="Q1" s="1228"/>
      <c r="R1" s="1228"/>
      <c r="S1" s="1229"/>
    </row>
    <row r="2" spans="1:19" ht="24.95" customHeight="1" thickBot="1" x14ac:dyDescent="0.25">
      <c r="A2" s="1239" t="s">
        <v>556</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412</v>
      </c>
      <c r="D3" s="1226"/>
      <c r="E3" s="1226"/>
      <c r="F3" s="1226"/>
      <c r="G3" s="1227"/>
      <c r="H3" s="1222" t="s">
        <v>447</v>
      </c>
      <c r="I3" s="1223"/>
      <c r="J3" s="1223"/>
      <c r="K3" s="1223"/>
      <c r="L3" s="1223"/>
      <c r="M3" s="1223"/>
      <c r="N3" s="1223"/>
      <c r="O3" s="1224"/>
      <c r="P3" s="1219" t="s">
        <v>414</v>
      </c>
      <c r="Q3" s="1220"/>
      <c r="R3" s="1221"/>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4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N</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N</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N</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N</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N</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N</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N</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N</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N</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N</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N</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N</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N</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N</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N</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N</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N</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N</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N</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N</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N</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N</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N</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N</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N</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N</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J8kTLK36OK9FfY4ejvQpb3QcM1FPoaAqEE+xoFD0MbrjvDJ6xJdDEiu6OxWEUh6n0DjxHZwT6V/WBw04HdMAcg==" saltValue="eXHy7XBlb5qm8Lht+vDiBg=="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48E15B7F8D642468021D843C556206B" ma:contentTypeVersion="0" ma:contentTypeDescription="Create a new document." ma:contentTypeScope="" ma:versionID="91af762e0c41b118416e01583dd2dec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DC3HDHFYPPD6-1940710064-3</_dlc_DocId>
    <_dlc_DocIdUrl xmlns="b9d87d8e-2e07-46b2-92a5-8b8b5755d768">
      <Url>https://cg.portal.uscg.mil/communities/erats/CS/FSO-PVA FOT/_layouts/DocIdRedir.aspx?ID=DC3HDHFYPPD6-1940710064-3</Url>
      <Description>DC3HDHFYPPD6-1940710064-3</Description>
    </_dlc_DocIdUrl>
  </documentManagement>
</p:properties>
</file>

<file path=customXml/itemProps1.xml><?xml version="1.0" encoding="utf-8"?>
<ds:datastoreItem xmlns:ds="http://schemas.openxmlformats.org/officeDocument/2006/customXml" ds:itemID="{85942FE5-4037-4FE3-AB43-25CCD0FA74E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3BC4F18B-928C-458F-94F6-7CA1F676921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e0984440-7a45-4087-81ea-1e5ebf810dd5"/>
    <ds:schemaRef ds:uri="http://schemas.microsoft.com/office/infopath/2007/PartnerControls"/>
    <ds:schemaRef ds:uri="b9d87d8e-2e07-46b2-92a5-8b8b5755d7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2020-05-18T21:05:37Z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0x010100D48E15B7F8D642468021D843C556206B</vt:lpwstr>
  </property>
  <property fmtid="{D5CDD505-2E9C-101B-9397-08002B2CF9AE}" pid="3" name="_dlc_DocIdItemGuid">
    <vt:lpwstr>4d81a59f-bfbf-41fd-b1fd-1a36ec8305b0</vt:lpwstr>
  </property>
  <property fmtid="{D5CDD505-2E9C-101B-9397-08002B2CF9AE}" pid="4" name="Order">
    <vt:r8>6800</vt:r8>
  </property>
</Properties>
</file>